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S:\Technik-Vorlagen\Volumenberechnung\"/>
    </mc:Choice>
  </mc:AlternateContent>
  <bookViews>
    <workbookView xWindow="240" yWindow="60" windowWidth="11580" windowHeight="6030" tabRatio="769" firstSheet="1" activeTab="1"/>
  </bookViews>
  <sheets>
    <sheet name="Sprache - language" sheetId="7" state="hidden" r:id="rId1"/>
    <sheet name="Ankerstange - Threaded Stud" sheetId="1" r:id="rId2"/>
    <sheet name="Innengewinde - Internal thread" sheetId="8" r:id="rId3"/>
    <sheet name="Bewehrungsstahl - Rebar" sheetId="9" r:id="rId4"/>
  </sheets>
  <definedNames>
    <definedName name="_xlnm.Print_Area" localSheetId="1">'Ankerstange - Threaded Stud'!$A$1:$H$34</definedName>
    <definedName name="_xlnm.Print_Area" localSheetId="3">'Bewehrungsstahl - Rebar'!$A$1:$H$34</definedName>
    <definedName name="_xlnm.Print_Area" localSheetId="2">'Innengewinde - Internal thread'!$A$1:$H$34</definedName>
    <definedName name="_xlnm.Print_Area" localSheetId="0">'Sprache - language'!$B$5:$C$43</definedName>
    <definedName name="Formel1" localSheetId="3">INDIRECT('Bewehrungsstahl - Rebar'!#REF!)</definedName>
    <definedName name="Formel1" localSheetId="2">INDIRECT('Innengewinde - Internal thread'!#REF!)</definedName>
    <definedName name="Formel1">INDIRECT('Ankerstange - Threaded Stud'!#REF!)</definedName>
    <definedName name="Formel2" localSheetId="3">INDIRECT(INDEX(Oberbegrriffe,'Bewehrungsstahl - Rebar'!#REF!,1))</definedName>
    <definedName name="Formel2" localSheetId="2">INDIRECT(INDEX(Oberbegrriffe,'Innengewinde - Internal thread'!#REF!,1))</definedName>
    <definedName name="Formel2">INDIRECT(INDEX(Oberbegrriffe,'Ankerstange - Threaded Stud'!#REF!,1))</definedName>
    <definedName name="Z_86FF260A_E7CC_11D4_BD27_0050BA735D1E_.wvu.Cols" localSheetId="1" hidden="1">'Ankerstange - Threaded Stud'!#REF!,'Ankerstange - Threaded Stud'!$V:$Y</definedName>
    <definedName name="Z_86FF260A_E7CC_11D4_BD27_0050BA735D1E_.wvu.Cols" localSheetId="3" hidden="1">'Bewehrungsstahl - Rebar'!#REF!,'Bewehrungsstahl - Rebar'!$W:$Y</definedName>
    <definedName name="Z_86FF260A_E7CC_11D4_BD27_0050BA735D1E_.wvu.Cols" localSheetId="2" hidden="1">'Innengewinde - Internal thread'!#REF!,'Innengewinde - Internal thread'!$V:$Y</definedName>
    <definedName name="Z_86FF260A_E7CC_11D4_BD27_0050BA735D1E_.wvu.Cols" localSheetId="0" hidden="1">'Sprache - language'!$C:$C,'Sprache - language'!$G:$Q</definedName>
    <definedName name="Z_86FF260A_E7CC_11D4_BD27_0050BA735D1E_.wvu.PrintArea" localSheetId="1" hidden="1">'Ankerstange - Threaded Stud'!$B$1:$H$35</definedName>
    <definedName name="Z_86FF260A_E7CC_11D4_BD27_0050BA735D1E_.wvu.PrintArea" localSheetId="3" hidden="1">'Bewehrungsstahl - Rebar'!$B$1:$H$36</definedName>
    <definedName name="Z_86FF260A_E7CC_11D4_BD27_0050BA735D1E_.wvu.PrintArea" localSheetId="2" hidden="1">'Innengewinde - Internal thread'!$B$1:$H$36</definedName>
    <definedName name="Z_86FF260A_E7CC_11D4_BD27_0050BA735D1E_.wvu.PrintArea" localSheetId="0" hidden="1">'Sprache - language'!$A$6:$F$39</definedName>
    <definedName name="Z_86FF260A_E7CC_11D4_BD27_0050BA735D1E_.wvu.Rows" localSheetId="1" hidden="1">'Ankerstange - Threaded Stud'!$9:$9</definedName>
    <definedName name="Z_86FF260A_E7CC_11D4_BD27_0050BA735D1E_.wvu.Rows" localSheetId="3" hidden="1">'Bewehrungsstahl - Rebar'!$9:$9</definedName>
    <definedName name="Z_86FF260A_E7CC_11D4_BD27_0050BA735D1E_.wvu.Rows" localSheetId="2" hidden="1">'Innengewinde - Internal thread'!$9:$9</definedName>
    <definedName name="Z_86FF260A_E7CC_11D4_BD27_0050BA735D1E_.wvu.Rows" localSheetId="0" hidden="1">'Sprache - language'!$14:$14</definedName>
  </definedNames>
  <calcPr calcId="152511"/>
  <customWorkbookViews>
    <customWorkbookView name="Venter Werner - Persönliche Ansicht" guid="{86FF260A-E7CC-11D4-BD27-0050BA735D1E}" mergeInterval="0" personalView="1" maximized="1" windowWidth="1020" windowHeight="553" tabRatio="695" activeSheetId="1"/>
  </customWorkbookViews>
</workbook>
</file>

<file path=xl/calcChain.xml><?xml version="1.0" encoding="utf-8"?>
<calcChain xmlns="http://schemas.openxmlformats.org/spreadsheetml/2006/main">
  <c r="U20" i="9" l="1"/>
  <c r="U21" i="9"/>
  <c r="U22" i="9"/>
  <c r="U23" i="9"/>
  <c r="U24" i="9"/>
  <c r="U25" i="9"/>
  <c r="U26" i="9"/>
  <c r="U19" i="9"/>
  <c r="U19" i="1"/>
  <c r="U20" i="1"/>
  <c r="U21" i="1"/>
  <c r="U22" i="1"/>
  <c r="U18" i="1"/>
  <c r="L1" i="9" l="1"/>
  <c r="K1" i="9"/>
  <c r="U18" i="9" s="1"/>
  <c r="K1" i="8"/>
  <c r="V18" i="8" s="1"/>
  <c r="L1" i="8"/>
  <c r="V16" i="1"/>
  <c r="V15" i="1"/>
  <c r="K1" i="1"/>
  <c r="V20" i="1" s="1"/>
  <c r="L1" i="1"/>
  <c r="P20" i="9"/>
  <c r="M37" i="9"/>
  <c r="M35" i="8"/>
  <c r="M36" i="1"/>
  <c r="W11" i="8"/>
  <c r="Q11" i="8"/>
  <c r="P11" i="8"/>
  <c r="N26" i="8" s="1"/>
  <c r="C20" i="8" s="1"/>
  <c r="M33" i="8"/>
  <c r="Q11" i="1"/>
  <c r="T21" i="8"/>
  <c r="T20" i="8"/>
  <c r="T19" i="8"/>
  <c r="T18" i="8"/>
  <c r="T17" i="8"/>
  <c r="T16" i="8"/>
  <c r="T15" i="8"/>
  <c r="T14" i="8"/>
  <c r="T13" i="8"/>
  <c r="T11" i="8" s="1"/>
  <c r="N30" i="8" s="1"/>
  <c r="T12" i="8"/>
  <c r="W11" i="9"/>
  <c r="W11" i="1"/>
  <c r="Q11" i="9"/>
  <c r="P18" i="9"/>
  <c r="T11" i="9"/>
  <c r="N32" i="9" s="1"/>
  <c r="M33" i="1"/>
  <c r="T22" i="1"/>
  <c r="T21" i="1"/>
  <c r="T20" i="1"/>
  <c r="T19" i="1"/>
  <c r="T18" i="1"/>
  <c r="T17" i="1"/>
  <c r="T16" i="1"/>
  <c r="T15" i="1"/>
  <c r="T14" i="1"/>
  <c r="T13" i="1"/>
  <c r="T12" i="1"/>
  <c r="D14" i="9"/>
  <c r="D14" i="8"/>
  <c r="D14" i="1"/>
  <c r="A32" i="9"/>
  <c r="T13" i="9"/>
  <c r="M35" i="9"/>
  <c r="T19" i="9"/>
  <c r="T26" i="9"/>
  <c r="T25" i="9"/>
  <c r="T24" i="9"/>
  <c r="T23" i="9"/>
  <c r="T22" i="9"/>
  <c r="T21" i="9"/>
  <c r="T20" i="9"/>
  <c r="T18" i="9"/>
  <c r="T17" i="9"/>
  <c r="T16" i="9"/>
  <c r="T15" i="9"/>
  <c r="T14" i="9"/>
  <c r="T12" i="9"/>
  <c r="P13" i="9"/>
  <c r="P14" i="9"/>
  <c r="P15" i="9"/>
  <c r="P16" i="9"/>
  <c r="P17" i="9"/>
  <c r="P19" i="9"/>
  <c r="P21" i="9"/>
  <c r="P22" i="9"/>
  <c r="P23" i="9"/>
  <c r="P24" i="9"/>
  <c r="P25" i="9"/>
  <c r="P26" i="9"/>
  <c r="P12" i="9"/>
  <c r="P11" i="9"/>
  <c r="N29" i="9" s="1"/>
  <c r="C20" i="9" s="1"/>
  <c r="O11" i="9"/>
  <c r="N30" i="9" s="1"/>
  <c r="N11" i="9"/>
  <c r="E12" i="9" s="1"/>
  <c r="A20" i="9"/>
  <c r="A11" i="9"/>
  <c r="A20" i="8"/>
  <c r="A11" i="8"/>
  <c r="A30" i="9"/>
  <c r="A28" i="9"/>
  <c r="N28" i="9"/>
  <c r="C17" i="9" s="1"/>
  <c r="A25" i="9"/>
  <c r="A24" i="9"/>
  <c r="A22" i="9"/>
  <c r="A17" i="9"/>
  <c r="A16" i="9"/>
  <c r="E14" i="9"/>
  <c r="A14" i="9"/>
  <c r="E13" i="9"/>
  <c r="A13" i="9"/>
  <c r="A12" i="9"/>
  <c r="A10" i="9"/>
  <c r="A9" i="9"/>
  <c r="E7" i="9"/>
  <c r="A7" i="9"/>
  <c r="E6" i="9"/>
  <c r="A6" i="9"/>
  <c r="G5" i="9"/>
  <c r="F5" i="9"/>
  <c r="A5" i="9"/>
  <c r="A4" i="9"/>
  <c r="A2" i="9"/>
  <c r="A1" i="9"/>
  <c r="P19" i="8"/>
  <c r="P20" i="8"/>
  <c r="P21" i="8"/>
  <c r="P18" i="8"/>
  <c r="N25" i="8"/>
  <c r="C17" i="8"/>
  <c r="A32" i="8"/>
  <c r="A30" i="8"/>
  <c r="A28" i="8"/>
  <c r="A25" i="8"/>
  <c r="A24" i="8"/>
  <c r="A22" i="8"/>
  <c r="A17" i="8"/>
  <c r="A16" i="8"/>
  <c r="E14" i="8"/>
  <c r="A14" i="8"/>
  <c r="E13" i="8"/>
  <c r="A13" i="8"/>
  <c r="A12" i="8"/>
  <c r="O11" i="8"/>
  <c r="N27" i="8" s="1"/>
  <c r="N11" i="8"/>
  <c r="E12" i="8" s="1"/>
  <c r="M11" i="8"/>
  <c r="C16" i="8" s="1"/>
  <c r="A10" i="8"/>
  <c r="A9" i="8"/>
  <c r="E7" i="8"/>
  <c r="A7" i="8"/>
  <c r="E6" i="8"/>
  <c r="A6" i="8"/>
  <c r="G5" i="8"/>
  <c r="F5" i="8"/>
  <c r="A5" i="8"/>
  <c r="A4" i="8"/>
  <c r="A2" i="8"/>
  <c r="A1" i="8"/>
  <c r="E14" i="1"/>
  <c r="E13" i="1"/>
  <c r="P11" i="1"/>
  <c r="N27" i="1" s="1"/>
  <c r="C20" i="1" s="1"/>
  <c r="O11" i="1"/>
  <c r="N28" i="1" s="1"/>
  <c r="N11" i="1"/>
  <c r="E12" i="1" s="1"/>
  <c r="N26" i="1"/>
  <c r="C17" i="1" s="1"/>
  <c r="A9" i="1"/>
  <c r="E7" i="1"/>
  <c r="A7" i="1"/>
  <c r="E6" i="1"/>
  <c r="A6" i="1"/>
  <c r="G5" i="1"/>
  <c r="F5" i="1"/>
  <c r="A5" i="1"/>
  <c r="A4" i="1"/>
  <c r="A16" i="1"/>
  <c r="A2" i="1"/>
  <c r="A1" i="1"/>
  <c r="A11" i="1"/>
  <c r="A12" i="1"/>
  <c r="A13" i="1"/>
  <c r="A22" i="1"/>
  <c r="A20" i="1"/>
  <c r="A17" i="1"/>
  <c r="A25" i="1"/>
  <c r="A24" i="1"/>
  <c r="A10" i="1"/>
  <c r="A14" i="1"/>
  <c r="A32" i="1"/>
  <c r="A30" i="1"/>
  <c r="A28" i="1"/>
  <c r="E10" i="1"/>
  <c r="E10" i="9"/>
  <c r="E10" i="8"/>
  <c r="N31" i="9" l="1"/>
  <c r="U14" i="9"/>
  <c r="U13" i="9"/>
  <c r="U12" i="9"/>
  <c r="U16" i="9"/>
  <c r="U11" i="9"/>
  <c r="A19" i="9" s="1"/>
  <c r="U15" i="9"/>
  <c r="V19" i="8"/>
  <c r="U21" i="8"/>
  <c r="U17" i="8"/>
  <c r="U16" i="8"/>
  <c r="U12" i="8"/>
  <c r="U20" i="8"/>
  <c r="U14" i="8"/>
  <c r="U18" i="8"/>
  <c r="U13" i="8"/>
  <c r="U19" i="8"/>
  <c r="V15" i="8"/>
  <c r="V21" i="1"/>
  <c r="N29" i="1"/>
  <c r="U16" i="1"/>
  <c r="U15" i="1"/>
  <c r="U14" i="1"/>
  <c r="U13" i="1"/>
  <c r="U17" i="1"/>
  <c r="M20" i="1"/>
  <c r="U12" i="1"/>
  <c r="M17" i="1"/>
  <c r="M11" i="1" s="1"/>
  <c r="V13" i="1"/>
  <c r="V18" i="1"/>
  <c r="V12" i="8"/>
  <c r="V20" i="8"/>
  <c r="M20" i="9"/>
  <c r="M11" i="9" s="1"/>
  <c r="C16" i="9" s="1"/>
  <c r="V12" i="9"/>
  <c r="V23" i="9"/>
  <c r="M18" i="1"/>
  <c r="V14" i="1"/>
  <c r="V17" i="1"/>
  <c r="U15" i="8"/>
  <c r="V13" i="8"/>
  <c r="V21" i="8"/>
  <c r="V13" i="9"/>
  <c r="V22" i="9"/>
  <c r="V14" i="8"/>
  <c r="N28" i="8"/>
  <c r="V14" i="9"/>
  <c r="V21" i="9"/>
  <c r="V17" i="8"/>
  <c r="V15" i="9"/>
  <c r="V20" i="9"/>
  <c r="V11" i="9" s="1"/>
  <c r="T11" i="1"/>
  <c r="N30" i="1" s="1"/>
  <c r="V22" i="1"/>
  <c r="M15" i="8"/>
  <c r="V16" i="8"/>
  <c r="V16" i="9"/>
  <c r="V19" i="9"/>
  <c r="V26" i="9"/>
  <c r="V18" i="9"/>
  <c r="U17" i="9"/>
  <c r="V25" i="9"/>
  <c r="V17" i="9"/>
  <c r="C22" i="8"/>
  <c r="C25" i="8" s="1"/>
  <c r="C28" i="8" s="1"/>
  <c r="E28" i="8" s="1"/>
  <c r="V12" i="1"/>
  <c r="V19" i="1"/>
  <c r="M18" i="9"/>
  <c r="V24" i="9"/>
  <c r="C22" i="9"/>
  <c r="C25" i="9" s="1"/>
  <c r="N35" i="9" s="1"/>
  <c r="V11" i="8"/>
  <c r="U11" i="8"/>
  <c r="A19" i="8" s="1"/>
  <c r="D19" i="8" s="1"/>
  <c r="C22" i="1"/>
  <c r="C25" i="1" s="1"/>
  <c r="V11" i="1"/>
  <c r="U11" i="1"/>
  <c r="C30" i="9" l="1"/>
  <c r="D30" i="9" s="1"/>
  <c r="C30" i="8"/>
  <c r="D30" i="8" s="1"/>
  <c r="N33" i="9"/>
  <c r="C19" i="9" s="1"/>
  <c r="N31" i="1"/>
  <c r="A19" i="1"/>
  <c r="C28" i="9"/>
  <c r="E28" i="9" s="1"/>
  <c r="N33" i="8"/>
  <c r="C16" i="1"/>
  <c r="C30" i="1"/>
  <c r="D30" i="1" s="1"/>
  <c r="D19" i="9"/>
  <c r="N31" i="8"/>
  <c r="C19" i="8" s="1"/>
  <c r="N33" i="1"/>
  <c r="C28" i="1"/>
  <c r="E28" i="1" s="1"/>
  <c r="P36" i="9" l="1"/>
  <c r="N37" i="9"/>
  <c r="P35" i="9"/>
  <c r="C32" i="9" s="1"/>
  <c r="N38" i="9"/>
  <c r="N36" i="9"/>
  <c r="C33" i="9" s="1"/>
  <c r="C19" i="1"/>
  <c r="N36" i="1" s="1"/>
  <c r="N34" i="8"/>
  <c r="N35" i="8"/>
  <c r="P34" i="8"/>
  <c r="C33" i="8" s="1"/>
  <c r="P33" i="8"/>
  <c r="C32" i="8" s="1"/>
  <c r="N36" i="8"/>
  <c r="D19" i="1"/>
  <c r="P33" i="1" l="1"/>
  <c r="C32" i="1" s="1"/>
  <c r="P34" i="1"/>
  <c r="N34" i="1"/>
  <c r="C33" i="1" s="1"/>
  <c r="N37" i="1"/>
</calcChain>
</file>

<file path=xl/comments1.xml><?xml version="1.0" encoding="utf-8"?>
<comments xmlns="http://schemas.openxmlformats.org/spreadsheetml/2006/main">
  <authors>
    <author>Schildt, Carola</author>
    <author>Venter Werner</author>
  </authors>
  <commentList>
    <comment ref="W9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Wir gehen davon aus, dass dieses nicht gekürzt wird
darüber hinaus wird mit der genauen Länge gerechnet
</t>
        </r>
      </text>
    </comment>
    <comment ref="M17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</t>
        </r>
      </text>
    </comment>
    <comment ref="M18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
</t>
        </r>
      </text>
    </comment>
    <comment ref="M20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</t>
        </r>
      </text>
    </comment>
    <comment ref="N28" authorId="1" shapeId="0">
      <text>
        <r>
          <rPr>
            <b/>
            <sz val="8"/>
            <color indexed="81"/>
            <rFont val="Tahoma"/>
            <family val="2"/>
          </rPr>
          <t>Venter Werner:</t>
        </r>
        <r>
          <rPr>
            <sz val="8"/>
            <color indexed="81"/>
            <rFont val="Tahoma"/>
            <family val="2"/>
          </rPr>
          <t xml:space="preserve">
Der Zuschlag sollte zwischen 15 - 40 % betragen.</t>
        </r>
      </text>
    </comment>
  </commentList>
</comments>
</file>

<file path=xl/comments2.xml><?xml version="1.0" encoding="utf-8"?>
<comments xmlns="http://schemas.openxmlformats.org/spreadsheetml/2006/main">
  <authors>
    <author>Schildt, Carola</author>
    <author>Venter Werner</author>
  </authors>
  <commentList>
    <comment ref="W9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Wir gehen davon aus, dass dieses nicht gekürzt wird
darüber hinaus wird mit der genauen Länge gerechnet
</t>
        </r>
      </text>
    </comment>
    <comment ref="M15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Formel!</t>
        </r>
      </text>
    </comment>
    <comment ref="N27" authorId="1" shapeId="0">
      <text>
        <r>
          <rPr>
            <b/>
            <sz val="8"/>
            <color indexed="81"/>
            <rFont val="Tahoma"/>
            <family val="2"/>
          </rPr>
          <t>Venter Werner:</t>
        </r>
        <r>
          <rPr>
            <sz val="8"/>
            <color indexed="81"/>
            <rFont val="Tahoma"/>
            <family val="2"/>
          </rPr>
          <t xml:space="preserve">
Der Zuschlag sollte zwischen 15 - 40 % betragen.</t>
        </r>
      </text>
    </comment>
  </commentList>
</comments>
</file>

<file path=xl/comments3.xml><?xml version="1.0" encoding="utf-8"?>
<comments xmlns="http://schemas.openxmlformats.org/spreadsheetml/2006/main">
  <authors>
    <author>Schildt, Carola</author>
    <author>Venter Werner</author>
  </authors>
  <commentList>
    <comment ref="W9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Wir gehen davon aus, dass dieses nicht gekürzt wird</t>
        </r>
      </text>
    </comment>
    <comment ref="M18" authorId="0" shapeId="0">
      <text>
        <r>
          <rPr>
            <b/>
            <sz val="9"/>
            <color indexed="81"/>
            <rFont val="Segoe UI"/>
            <family val="2"/>
          </rPr>
          <t>Schildt, Carola:</t>
        </r>
        <r>
          <rPr>
            <sz val="9"/>
            <color indexed="81"/>
            <rFont val="Segoe UI"/>
            <family val="2"/>
          </rPr>
          <t xml:space="preserve">
Achtung Formel!</t>
        </r>
      </text>
    </comment>
    <comment ref="N30" authorId="1" shapeId="0">
      <text>
        <r>
          <rPr>
            <b/>
            <sz val="8"/>
            <color indexed="81"/>
            <rFont val="Tahoma"/>
            <family val="2"/>
          </rPr>
          <t>Venter Werner:</t>
        </r>
        <r>
          <rPr>
            <sz val="8"/>
            <color indexed="81"/>
            <rFont val="Tahoma"/>
            <family val="2"/>
          </rPr>
          <t xml:space="preserve">
Der Zuschlag sollte zwischen 15 - 40 % betragen.</t>
        </r>
      </text>
    </comment>
  </commentList>
</comments>
</file>

<file path=xl/sharedStrings.xml><?xml version="1.0" encoding="utf-8"?>
<sst xmlns="http://schemas.openxmlformats.org/spreadsheetml/2006/main" count="418" uniqueCount="218">
  <si>
    <t>ml</t>
  </si>
  <si>
    <t>cm</t>
  </si>
  <si>
    <t>cm³</t>
  </si>
  <si>
    <t>l</t>
  </si>
  <si>
    <t>mm</t>
  </si>
  <si>
    <t>Gewindestange</t>
  </si>
  <si>
    <t>Name:</t>
  </si>
  <si>
    <t>Fax:</t>
  </si>
  <si>
    <t>Verlust</t>
  </si>
  <si>
    <t>%</t>
  </si>
  <si>
    <t>Company:</t>
  </si>
  <si>
    <t>Phone:</t>
  </si>
  <si>
    <t>Project:</t>
  </si>
  <si>
    <t>Person in Charge:</t>
  </si>
  <si>
    <t>Date:</t>
  </si>
  <si>
    <t>Depth of drill hole:</t>
  </si>
  <si>
    <t>Drill bit:</t>
  </si>
  <si>
    <t>Volume of drill hole:</t>
  </si>
  <si>
    <t>Volume of threaded stud:</t>
  </si>
  <si>
    <t>Adhesive volume:</t>
  </si>
  <si>
    <t>Adhesive requirement including excess adhesive</t>
  </si>
  <si>
    <t>Requirement:</t>
  </si>
  <si>
    <t>Number of holes:</t>
  </si>
  <si>
    <t>Total adhesive requirement:</t>
  </si>
  <si>
    <t>Number of anchors per cartridge:</t>
  </si>
  <si>
    <t>Number of cartridges required:</t>
  </si>
  <si>
    <t>Internally threaded sleeve:</t>
  </si>
  <si>
    <t>Volume of sleeve:</t>
  </si>
  <si>
    <t>equal to:</t>
  </si>
  <si>
    <t>Ribbed rebar:</t>
  </si>
  <si>
    <t>Drill bit: (recommended)</t>
  </si>
  <si>
    <t>Volume of ribbed rebar:</t>
  </si>
  <si>
    <t>Perfo sleeve:</t>
  </si>
  <si>
    <t>for anchorings into concrete and solid base materials</t>
  </si>
  <si>
    <t>for anchorings into hollow base materials</t>
  </si>
  <si>
    <t>Size of cartridge:</t>
  </si>
  <si>
    <t>Verlust:</t>
  </si>
  <si>
    <t>piece</t>
  </si>
  <si>
    <t>pieces</t>
  </si>
  <si>
    <t>Berechnung des MKT Verbundmörtelbedarfs</t>
  </si>
  <si>
    <t>für die Verankerung in Mauerwerk mit Metall - Siebhülse</t>
  </si>
  <si>
    <t>Firma:</t>
  </si>
  <si>
    <t>Tel.:</t>
  </si>
  <si>
    <t>Bauvorhaben:</t>
  </si>
  <si>
    <t>Bearbeiter:</t>
  </si>
  <si>
    <t>Datum:</t>
  </si>
  <si>
    <t>Bohrlochtiefe:</t>
  </si>
  <si>
    <t>Bohrer:</t>
  </si>
  <si>
    <t>Mörtelvolumen:</t>
  </si>
  <si>
    <t>Mörtelbedarf inkl. Vorlauf und Überschußmenge</t>
  </si>
  <si>
    <t>Mörtelbedarf:</t>
  </si>
  <si>
    <t>Bohrlochanzahl:</t>
  </si>
  <si>
    <t>Gesamt-
Mörtelbedarf:</t>
  </si>
  <si>
    <t>Anzahl der Anker pro Kartusche:</t>
  </si>
  <si>
    <t>Stück</t>
  </si>
  <si>
    <t>Kartuschen</t>
  </si>
  <si>
    <t>deutsch</t>
  </si>
  <si>
    <t>englisch</t>
  </si>
  <si>
    <t>für die Verankerung von Betonstahl in Beton</t>
  </si>
  <si>
    <t>for anchorings of rebar into concrete</t>
  </si>
  <si>
    <t>Kartuschengröße:</t>
  </si>
  <si>
    <t>cartridge of</t>
  </si>
  <si>
    <t>cartridges of</t>
  </si>
  <si>
    <t>Recommended adhesive:</t>
  </si>
  <si>
    <t>Injection System</t>
  </si>
  <si>
    <t>Empfohlener Mörtel:</t>
  </si>
  <si>
    <t>Injektionssystem</t>
  </si>
  <si>
    <t>Innengewindehülse:</t>
  </si>
  <si>
    <t>Volumen der Innengewindehülse:</t>
  </si>
  <si>
    <t>Volumen der Gewindestange:</t>
  </si>
  <si>
    <t>Volumen des Bewehrungsstahles:</t>
  </si>
  <si>
    <t>Bohrlochvolumen:</t>
  </si>
  <si>
    <t>Bohrer: (empfohlen)</t>
  </si>
  <si>
    <t>Bewehrungsstahl:</t>
  </si>
  <si>
    <t>für die Verankerung in Beton und Vollsteinen</t>
  </si>
  <si>
    <t>Kartusche</t>
  </si>
  <si>
    <t>entspricht:</t>
  </si>
  <si>
    <t>Erforderliche Kartuschen:</t>
  </si>
  <si>
    <t>Metall-Siebhülse:</t>
  </si>
  <si>
    <t>AKTUELL</t>
  </si>
  <si>
    <t>A [mm²]</t>
  </si>
  <si>
    <t>Determination of Quantity of Injection Adhesive Requirement</t>
  </si>
  <si>
    <t>Anmerkung:</t>
  </si>
  <si>
    <t>Remark:</t>
  </si>
  <si>
    <t>für die Anzahl der Bohrlöcher</t>
  </si>
  <si>
    <t>Außen-Ø</t>
  </si>
  <si>
    <t>Innen-Ø</t>
  </si>
  <si>
    <t>Die Füllung des Verlängerungsrohrs erfordert eine höhere Mörtelmenge als eine Kartusche beinhaltet!</t>
  </si>
  <si>
    <t>Volumen des Verlängerungsrohrs:</t>
  </si>
  <si>
    <r>
      <t>Manteldicke</t>
    </r>
    <r>
      <rPr>
        <vertAlign val="superscript"/>
        <sz val="10"/>
        <rFont val="Arial"/>
        <family val="2"/>
      </rPr>
      <t>*)</t>
    </r>
  </si>
  <si>
    <r>
      <t>*)</t>
    </r>
    <r>
      <rPr>
        <sz val="10"/>
        <rFont val="Arial"/>
        <family val="2"/>
      </rPr>
      <t>gem. Aussage Entwickl.</t>
    </r>
  </si>
  <si>
    <t>(Volumenberechnung Verlängerungsrohr abzgl. Vol. Statikmischer)</t>
  </si>
  <si>
    <t>Verlängerungsrohr (VR)</t>
  </si>
  <si>
    <t>The filling of the extension pipe demands more mortar as one cartridge contains!</t>
  </si>
  <si>
    <t>Volume of extension pipe:</t>
  </si>
  <si>
    <t>for the number of drill holes</t>
  </si>
  <si>
    <t>Výpočet objemu chemickej kotviacej zmesy MKT</t>
  </si>
  <si>
    <t>pre kotvenie betonárskej ocele v betóne</t>
  </si>
  <si>
    <t>pre kotvenie v betóne a v plnostenných materiáloch</t>
  </si>
  <si>
    <t>pre kotvenie v murive s dutinami</t>
  </si>
  <si>
    <t>Meno:</t>
  </si>
  <si>
    <t>Projekt:</t>
  </si>
  <si>
    <t>Spracovateľ:</t>
  </si>
  <si>
    <t>Dátum:</t>
  </si>
  <si>
    <t>Perforované púzdro:</t>
  </si>
  <si>
    <t>Hĺbka vŕtanej diery:</t>
  </si>
  <si>
    <t>Priemer vrtáku:</t>
  </si>
  <si>
    <t>Objem kotviacej zmesy:</t>
  </si>
  <si>
    <t>Objem kotviacej zmesy aj s prebytkom</t>
  </si>
  <si>
    <t>Potreba:</t>
  </si>
  <si>
    <t>Počet vŕtaných dier:</t>
  </si>
  <si>
    <t>Objem kartuše:</t>
  </si>
  <si>
    <t>Celkový objem kotviacej zmesy:</t>
  </si>
  <si>
    <t>Počet osadených kotiev na kartušu:</t>
  </si>
  <si>
    <t>Potrebný počet kartuší:</t>
  </si>
  <si>
    <t>zodpovedá:</t>
  </si>
  <si>
    <t>kusov</t>
  </si>
  <si>
    <t>kartuša</t>
  </si>
  <si>
    <t>kartuší</t>
  </si>
  <si>
    <t>Betonárska výstuž</t>
  </si>
  <si>
    <t>Priemer vrtáku:(odporúčaný)</t>
  </si>
  <si>
    <t>Objem vŕtanej diery:</t>
  </si>
  <si>
    <t>Objem použitej betonárskej výstuže:</t>
  </si>
  <si>
    <t>Objem použitej závitovej tyče:</t>
  </si>
  <si>
    <t>Objem použitého perforovaného púzdra:</t>
  </si>
  <si>
    <t>Púzdro s vnútorným závitom:</t>
  </si>
  <si>
    <t>Odporúčaná kotviaca zmes:</t>
  </si>
  <si>
    <t>Injektážny systém</t>
  </si>
  <si>
    <t>Objem predlžovacej dýzi:</t>
  </si>
  <si>
    <t>Poznámka:</t>
  </si>
  <si>
    <t>Naplnenie predlžovacej dýzi požaduje väčší objem kotviacej zmesy ako je objem jednej kartuše!</t>
  </si>
  <si>
    <t>pre daný počet vŕtaných dier</t>
  </si>
  <si>
    <t>slovakisch</t>
  </si>
  <si>
    <t>Übersetzt von Allmedia</t>
  </si>
  <si>
    <t>VMU plus</t>
  </si>
  <si>
    <t>VMH</t>
  </si>
  <si>
    <t>VM-EA</t>
  </si>
  <si>
    <t>VME</t>
  </si>
  <si>
    <t>Mörtel:</t>
  </si>
  <si>
    <t>Gewindestange:</t>
  </si>
  <si>
    <t>Threaded stud:</t>
  </si>
  <si>
    <t>Závitová tyč / svorník:</t>
  </si>
  <si>
    <t>Mortar:</t>
  </si>
  <si>
    <t>Malta:</t>
  </si>
  <si>
    <t>Ø 26</t>
  </si>
  <si>
    <t>VM-PY</t>
  </si>
  <si>
    <t>Mörtel</t>
  </si>
  <si>
    <t>Bohrloch - Durchmesser:</t>
  </si>
  <si>
    <t>nutzbare Mörtelmenge:</t>
  </si>
  <si>
    <t>Bitte Bohrlochanzahl überprüfen!</t>
  </si>
  <si>
    <t>Bitte Bohrlochtiefe überprüfen!</t>
  </si>
  <si>
    <t>Bitte Kartuschengröße überprüfen!</t>
  </si>
  <si>
    <t>Please check content of cartridge!</t>
  </si>
  <si>
    <t>Bitte Bohrlochdurchmesser überprüfen!</t>
  </si>
  <si>
    <t>Please check diameter of drill hole!</t>
  </si>
  <si>
    <t>Please check depth of drill hole!</t>
  </si>
  <si>
    <t>Please check number of drill holes!</t>
  </si>
  <si>
    <t>Stahl-ø</t>
  </si>
  <si>
    <t>Borhrloch-ø</t>
  </si>
  <si>
    <t>mm²</t>
  </si>
  <si>
    <t>V-IG M8</t>
  </si>
  <si>
    <t>V-IG M10</t>
  </si>
  <si>
    <t>V-IG M12</t>
  </si>
  <si>
    <t>V-IG M16</t>
  </si>
  <si>
    <t>VR-Innen-ø:</t>
  </si>
  <si>
    <t>VM-XE 10</t>
  </si>
  <si>
    <t>VM-XLE 16</t>
  </si>
  <si>
    <t>Länge Statikmischer</t>
  </si>
  <si>
    <t>Statikmischer</t>
  </si>
  <si>
    <t>Verlängerungsrohr</t>
  </si>
  <si>
    <t>Bewehrungsstahl</t>
  </si>
  <si>
    <t>für empfohlenen Bohrlochdurchmesser</t>
  </si>
  <si>
    <t>static mixer</t>
  </si>
  <si>
    <t>extension tubes</t>
  </si>
  <si>
    <t>for recommended drill hole diameter</t>
  </si>
  <si>
    <t>VMU-IG M6</t>
  </si>
  <si>
    <t>VMU-IG M8</t>
  </si>
  <si>
    <t>VMU-IG M10</t>
  </si>
  <si>
    <t>VMU-IG M12</t>
  </si>
  <si>
    <t>VMU-IG M16</t>
  </si>
  <si>
    <t>VMU-IG M20</t>
  </si>
  <si>
    <t>Bohrer: (gewählt)</t>
  </si>
  <si>
    <t>Drill bit: (selected)</t>
  </si>
  <si>
    <t>Priemer vrtáku: (zvolený)</t>
  </si>
  <si>
    <t>je Wechsel des Verlängerungsrohrs</t>
  </si>
  <si>
    <t>per change of the extension pipe</t>
  </si>
  <si>
    <t>pri každej výmene predlžovacej dýzi</t>
  </si>
  <si>
    <t>ab Bohrloch-ø18 empfehlen wir den größeren Statikmischer mit dem 16er Verlängerungsrohr</t>
  </si>
  <si>
    <t>Beim VMH gibt es den Statikmischer VM-XH. Der hat bei 110mm einen Absatz. Ab dem passt er erst wieder in Bohrlöcher &gt;18mm.</t>
  </si>
  <si>
    <t>VM-XH Überdeckung Verlängerungsrohr Statikmischer</t>
  </si>
  <si>
    <t>Kürzestes Verlängerungsrohr</t>
  </si>
  <si>
    <t>(Verlängerungsrohr abzgl. Überdeckung Statikmischer)</t>
  </si>
  <si>
    <t>angesetzte Länge Verlängerungsrohr</t>
  </si>
  <si>
    <t>empf. Verlängerung</t>
  </si>
  <si>
    <t>empfohlenes Zubehör:</t>
  </si>
  <si>
    <t>recommended accessories:</t>
  </si>
  <si>
    <t>TabIG1</t>
  </si>
  <si>
    <t>TabIG2</t>
  </si>
  <si>
    <t>TabIG3</t>
  </si>
  <si>
    <t>TabIG4</t>
  </si>
  <si>
    <t>TabIG5</t>
  </si>
  <si>
    <t>TabRE1</t>
  </si>
  <si>
    <t>TabRE2</t>
  </si>
  <si>
    <t>TabRE3</t>
  </si>
  <si>
    <t>TabRE4</t>
  </si>
  <si>
    <t>TabRE5</t>
  </si>
  <si>
    <t>TabA1</t>
  </si>
  <si>
    <t>TabA2</t>
  </si>
  <si>
    <t>TabA3</t>
  </si>
  <si>
    <t>TabA4</t>
  </si>
  <si>
    <t>TabA5</t>
  </si>
  <si>
    <t>E-Mail:</t>
  </si>
  <si>
    <t>Email:</t>
  </si>
  <si>
    <t xml:space="preserve">VME plus </t>
  </si>
  <si>
    <t>VME plus</t>
  </si>
  <si>
    <t>TabA6</t>
  </si>
  <si>
    <t>TabIG6</t>
  </si>
  <si>
    <t>TabRE6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</si>
</sst>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&quot;Ø&quot;\ 0"/>
    <numFmt numFmtId="167" formatCode="&quot;M&quot;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FFFF9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" fontId="2" fillId="0" borderId="0" xfId="0" applyNumberFormat="1" applyFont="1" applyFill="1" applyBorder="1" applyAlignment="1" applyProtection="1">
      <alignment horizontal="left" textRotation="90"/>
      <protection locked="0"/>
    </xf>
    <xf numFmtId="2" fontId="2" fillId="0" borderId="0" xfId="0" applyNumberFormat="1" applyFont="1" applyFill="1" applyBorder="1" applyAlignment="1"/>
    <xf numFmtId="2" fontId="2" fillId="0" borderId="0" xfId="0" applyNumberFormat="1" applyFont="1" applyAlignment="1" applyProtection="1"/>
    <xf numFmtId="2" fontId="2" fillId="0" borderId="0" xfId="0" applyNumberFormat="1" applyFont="1" applyFill="1" applyBorder="1" applyAlignment="1" applyProtection="1"/>
    <xf numFmtId="2" fontId="2" fillId="0" borderId="0" xfId="1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2" fontId="2" fillId="0" borderId="0" xfId="0" applyNumberFormat="1" applyFont="1" applyFill="1" applyAlignment="1" applyProtection="1"/>
    <xf numFmtId="2" fontId="2" fillId="0" borderId="0" xfId="0" applyNumberFormat="1" applyFont="1" applyFill="1" applyBorder="1" applyAlignment="1" applyProtection="1">
      <protection locked="0"/>
    </xf>
    <xf numFmtId="9" fontId="2" fillId="0" borderId="0" xfId="0" applyNumberFormat="1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Fill="1" applyBorder="1" applyAlignment="1" applyProtection="1">
      <alignment vertical="center" textRotation="90"/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2" fontId="2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horizontal="left" wrapText="1"/>
      <protection locked="0"/>
    </xf>
    <xf numFmtId="2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alignment horizontal="left" textRotation="90"/>
      <protection locked="0"/>
    </xf>
    <xf numFmtId="2" fontId="8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protection locked="0"/>
    </xf>
    <xf numFmtId="2" fontId="8" fillId="2" borderId="1" xfId="0" applyNumberFormat="1" applyFont="1" applyFill="1" applyBorder="1" applyAlignment="1" applyProtection="1"/>
    <xf numFmtId="2" fontId="2" fillId="3" borderId="0" xfId="0" applyNumberFormat="1" applyFont="1" applyFill="1" applyBorder="1" applyAlignment="1" applyProtection="1">
      <alignment vertical="center"/>
    </xf>
    <xf numFmtId="2" fontId="2" fillId="3" borderId="0" xfId="0" applyNumberFormat="1" applyFont="1" applyFill="1" applyAlignment="1" applyProtection="1">
      <alignment vertical="center"/>
    </xf>
    <xf numFmtId="2" fontId="2" fillId="0" borderId="2" xfId="0" applyNumberFormat="1" applyFont="1" applyFill="1" applyBorder="1" applyAlignment="1" applyProtection="1"/>
    <xf numFmtId="2" fontId="2" fillId="0" borderId="0" xfId="0" applyNumberFormat="1" applyFont="1" applyAlignment="1" applyProtection="1">
      <alignment horizontal="right"/>
    </xf>
    <xf numFmtId="2" fontId="10" fillId="2" borderId="1" xfId="0" applyNumberFormat="1" applyFont="1" applyFill="1" applyBorder="1" applyAlignment="1" applyProtection="1">
      <alignment horizontal="left"/>
    </xf>
    <xf numFmtId="2" fontId="2" fillId="0" borderId="0" xfId="0" applyNumberFormat="1" applyFont="1" applyFill="1" applyBorder="1" applyAlignment="1" applyProtection="1">
      <alignment vertical="center" wrapText="1"/>
    </xf>
    <xf numFmtId="2" fontId="9" fillId="0" borderId="0" xfId="0" applyNumberFormat="1" applyFont="1" applyFill="1" applyAlignment="1" applyProtection="1"/>
    <xf numFmtId="2" fontId="4" fillId="0" borderId="0" xfId="0" applyNumberFormat="1" applyFont="1" applyFill="1" applyBorder="1" applyAlignment="1" applyProtection="1"/>
    <xf numFmtId="0" fontId="0" fillId="0" borderId="3" xfId="0" applyFill="1" applyBorder="1" applyProtection="1"/>
    <xf numFmtId="2" fontId="2" fillId="0" borderId="1" xfId="0" applyNumberFormat="1" applyFont="1" applyFill="1" applyBorder="1" applyAlignment="1" applyProtection="1"/>
    <xf numFmtId="0" fontId="0" fillId="0" borderId="4" xfId="0" applyFill="1" applyBorder="1" applyProtection="1"/>
    <xf numFmtId="1" fontId="2" fillId="0" borderId="0" xfId="0" applyNumberFormat="1" applyFont="1" applyFill="1" applyAlignment="1" applyProtection="1"/>
    <xf numFmtId="2" fontId="2" fillId="0" borderId="3" xfId="0" applyNumberFormat="1" applyFont="1" applyFill="1" applyBorder="1" applyAlignment="1" applyProtection="1"/>
    <xf numFmtId="2" fontId="2" fillId="0" borderId="5" xfId="0" applyNumberFormat="1" applyFont="1" applyFill="1" applyBorder="1" applyAlignment="1" applyProtection="1"/>
    <xf numFmtId="2" fontId="2" fillId="0" borderId="6" xfId="0" applyNumberFormat="1" applyFont="1" applyFill="1" applyBorder="1" applyAlignment="1" applyProtection="1"/>
    <xf numFmtId="2" fontId="2" fillId="0" borderId="7" xfId="0" applyNumberFormat="1" applyFont="1" applyFill="1" applyBorder="1" applyAlignment="1" applyProtection="1"/>
    <xf numFmtId="2" fontId="8" fillId="0" borderId="0" xfId="0" applyNumberFormat="1" applyFont="1" applyFill="1" applyAlignment="1" applyProtection="1"/>
    <xf numFmtId="2" fontId="2" fillId="0" borderId="8" xfId="0" applyNumberFormat="1" applyFont="1" applyFill="1" applyBorder="1" applyAlignment="1" applyProtection="1"/>
    <xf numFmtId="2" fontId="2" fillId="0" borderId="9" xfId="0" applyNumberFormat="1" applyFont="1" applyFill="1" applyBorder="1" applyAlignment="1" applyProtection="1"/>
    <xf numFmtId="2" fontId="5" fillId="0" borderId="0" xfId="0" applyNumberFormat="1" applyFont="1" applyFill="1" applyAlignment="1" applyProtection="1"/>
    <xf numFmtId="165" fontId="2" fillId="0" borderId="0" xfId="0" applyNumberFormat="1" applyFont="1" applyFill="1" applyBorder="1" applyAlignment="1" applyProtection="1"/>
    <xf numFmtId="2" fontId="3" fillId="0" borderId="0" xfId="0" applyNumberFormat="1" applyFont="1" applyFill="1" applyAlignment="1" applyProtection="1"/>
    <xf numFmtId="2" fontId="2" fillId="0" borderId="0" xfId="0" applyNumberFormat="1" applyFont="1" applyFill="1" applyAlignment="1" applyProtection="1">
      <alignment horizontal="right"/>
    </xf>
    <xf numFmtId="2" fontId="2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/>
    <xf numFmtId="1" fontId="3" fillId="0" borderId="0" xfId="0" applyNumberFormat="1" applyFont="1" applyFill="1" applyBorder="1" applyAlignment="1" applyProtection="1">
      <alignment horizontal="left"/>
    </xf>
    <xf numFmtId="2" fontId="3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5" xfId="0" applyNumberFormat="1" applyFont="1" applyFill="1" applyBorder="1" applyAlignment="1" applyProtection="1">
      <alignment horizontal="right"/>
    </xf>
    <xf numFmtId="1" fontId="15" fillId="0" borderId="0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167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/>
    <xf numFmtId="2" fontId="2" fillId="0" borderId="0" xfId="0" applyNumberFormat="1" applyFont="1" applyAlignment="1" applyProtection="1">
      <alignment horizontal="center"/>
    </xf>
    <xf numFmtId="2" fontId="2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/>
    </xf>
    <xf numFmtId="9" fontId="2" fillId="0" borderId="0" xfId="0" applyNumberFormat="1" applyFont="1" applyBorder="1" applyAlignment="1" applyProtection="1"/>
    <xf numFmtId="2" fontId="12" fillId="0" borderId="0" xfId="0" applyNumberFormat="1" applyFont="1" applyBorder="1" applyAlignment="1" applyProtection="1">
      <alignment vertical="center" textRotation="90"/>
    </xf>
    <xf numFmtId="2" fontId="2" fillId="0" borderId="0" xfId="0" applyNumberFormat="1" applyFont="1" applyBorder="1" applyAlignment="1" applyProtection="1">
      <alignment wrapText="1"/>
    </xf>
    <xf numFmtId="2" fontId="2" fillId="0" borderId="0" xfId="0" applyNumberFormat="1" applyFont="1" applyBorder="1" applyAlignment="1" applyProtection="1">
      <alignment horizontal="center" wrapText="1"/>
    </xf>
    <xf numFmtId="166" fontId="16" fillId="0" borderId="0" xfId="0" applyNumberFormat="1" applyFont="1" applyBorder="1" applyAlignment="1" applyProtection="1">
      <alignment horizontal="center"/>
    </xf>
    <xf numFmtId="1" fontId="16" fillId="0" borderId="0" xfId="0" applyNumberFormat="1" applyFont="1" applyBorder="1" applyAlignment="1" applyProtection="1">
      <alignment horizontal="center"/>
    </xf>
    <xf numFmtId="2" fontId="16" fillId="0" borderId="0" xfId="0" applyNumberFormat="1" applyFont="1" applyBorder="1" applyAlignment="1" applyProtection="1">
      <alignment horizontal="center"/>
    </xf>
    <xf numFmtId="167" fontId="2" fillId="0" borderId="0" xfId="0" applyNumberFormat="1" applyFont="1" applyBorder="1" applyAlignment="1" applyProtection="1">
      <alignment horizontal="center"/>
    </xf>
    <xf numFmtId="166" fontId="2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9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left"/>
    </xf>
    <xf numFmtId="2" fontId="2" fillId="0" borderId="0" xfId="0" applyNumberFormat="1" applyFont="1" applyBorder="1" applyAlignment="1" applyProtection="1">
      <alignment horizontal="right"/>
    </xf>
    <xf numFmtId="2" fontId="2" fillId="0" borderId="0" xfId="1" applyNumberFormat="1" applyFont="1" applyBorder="1" applyAlignment="1" applyProtection="1">
      <alignment horizontal="right"/>
    </xf>
    <xf numFmtId="2" fontId="11" fillId="0" borderId="0" xfId="0" applyNumberFormat="1" applyFont="1" applyAlignment="1" applyProtection="1"/>
    <xf numFmtId="1" fontId="2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Alignment="1" applyProtection="1"/>
    <xf numFmtId="49" fontId="2" fillId="0" borderId="0" xfId="0" applyNumberFormat="1" applyFont="1" applyBorder="1" applyAlignment="1" applyProtection="1">
      <alignment horizontal="center"/>
    </xf>
    <xf numFmtId="1" fontId="2" fillId="0" borderId="0" xfId="1" applyNumberFormat="1" applyFont="1" applyAlignment="1" applyProtection="1"/>
    <xf numFmtId="1" fontId="2" fillId="0" borderId="0" xfId="0" applyNumberFormat="1" applyFont="1" applyBorder="1" applyAlignment="1" applyProtection="1"/>
    <xf numFmtId="2" fontId="3" fillId="0" borderId="0" xfId="0" applyNumberFormat="1" applyFont="1" applyBorder="1" applyAlignment="1" applyProtection="1"/>
    <xf numFmtId="1" fontId="2" fillId="0" borderId="0" xfId="0" applyNumberFormat="1" applyFont="1" applyBorder="1" applyAlignment="1" applyProtection="1">
      <alignment horizontal="right"/>
    </xf>
    <xf numFmtId="2" fontId="2" fillId="0" borderId="0" xfId="0" applyNumberFormat="1" applyFont="1" applyBorder="1" applyAlignment="1" applyProtection="1">
      <alignment horizontal="center"/>
    </xf>
    <xf numFmtId="2" fontId="17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Border="1" applyAlignment="1" applyProtection="1">
      <alignment horizontal="center"/>
    </xf>
    <xf numFmtId="2" fontId="2" fillId="4" borderId="0" xfId="0" applyNumberFormat="1" applyFont="1" applyFill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 wrapText="1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 applyProtection="1">
      <alignment horizontal="left" wrapText="1"/>
    </xf>
    <xf numFmtId="2" fontId="2" fillId="0" borderId="2" xfId="0" applyNumberFormat="1" applyFont="1" applyFill="1" applyBorder="1" applyAlignment="1" applyProtection="1">
      <alignment horizontal="left" wrapText="1"/>
    </xf>
    <xf numFmtId="2" fontId="2" fillId="0" borderId="0" xfId="0" applyNumberFormat="1" applyFont="1" applyFill="1" applyBorder="1" applyAlignment="1" applyProtection="1">
      <alignment horizontal="left" wrapText="1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Fill="1" applyBorder="1" applyAlignment="1" applyProtection="1">
      <alignment horizontal="left" wrapText="1"/>
    </xf>
    <xf numFmtId="2" fontId="2" fillId="0" borderId="8" xfId="0" applyNumberFormat="1" applyFont="1" applyFill="1" applyBorder="1" applyAlignment="1" applyProtection="1">
      <alignment horizontal="left" wrapText="1"/>
    </xf>
    <xf numFmtId="14" fontId="2" fillId="0" borderId="10" xfId="0" applyNumberFormat="1" applyFont="1" applyFill="1" applyBorder="1" applyAlignment="1" applyProtection="1">
      <alignment horizontal="center"/>
    </xf>
    <xf numFmtId="14" fontId="2" fillId="0" borderId="11" xfId="0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left" vertical="top" wrapText="1"/>
    </xf>
  </cellXfs>
  <cellStyles count="2">
    <cellStyle name="Prozent" xfId="1" builtinId="5"/>
    <cellStyle name="Standard" xfId="0" builtinId="0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protection locked="1" hidden="0"/>
    </dxf>
    <dxf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1304925</xdr:colOff>
      <xdr:row>3</xdr:row>
      <xdr:rowOff>76200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28575" y="47625"/>
          <a:ext cx="5734050" cy="714375"/>
        </a:xfrm>
        <a:prstGeom prst="rect">
          <a:avLst/>
        </a:pr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Die gewünschte Sprache muß in Spalte A kopiert werden!</a:t>
          </a:r>
        </a:p>
        <a:p>
          <a:pPr algn="ctr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The desired language must be copied in column A!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28575</xdr:rowOff>
    </xdr:from>
    <xdr:to>
      <xdr:col>7</xdr:col>
      <xdr:colOff>542925</xdr:colOff>
      <xdr:row>3</xdr:row>
      <xdr:rowOff>47625</xdr:rowOff>
    </xdr:to>
    <xdr:pic>
      <xdr:nvPicPr>
        <xdr:cNvPr id="1732" name="Picture 8" descr="MKT_Logo_Eine starke Verbind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8575"/>
          <a:ext cx="1438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619125</xdr:colOff>
      <xdr:row>15</xdr:row>
      <xdr:rowOff>19050</xdr:rowOff>
    </xdr:from>
    <xdr:to>
      <xdr:col>7</xdr:col>
      <xdr:colOff>47625</xdr:colOff>
      <xdr:row>27</xdr:row>
      <xdr:rowOff>95250</xdr:rowOff>
    </xdr:to>
    <xdr:pic>
      <xdr:nvPicPr>
        <xdr:cNvPr id="1733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495675"/>
          <a:ext cx="1971675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28575</xdr:rowOff>
    </xdr:from>
    <xdr:to>
      <xdr:col>7</xdr:col>
      <xdr:colOff>542925</xdr:colOff>
      <xdr:row>3</xdr:row>
      <xdr:rowOff>47625</xdr:rowOff>
    </xdr:to>
    <xdr:pic>
      <xdr:nvPicPr>
        <xdr:cNvPr id="10501" name="Picture 8" descr="MKT_Logo_Eine starke Verbind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8575"/>
          <a:ext cx="1438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638175</xdr:colOff>
      <xdr:row>14</xdr:row>
      <xdr:rowOff>47625</xdr:rowOff>
    </xdr:from>
    <xdr:to>
      <xdr:col>7</xdr:col>
      <xdr:colOff>180975</xdr:colOff>
      <xdr:row>27</xdr:row>
      <xdr:rowOff>19050</xdr:rowOff>
    </xdr:to>
    <xdr:pic>
      <xdr:nvPicPr>
        <xdr:cNvPr id="10502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295650"/>
          <a:ext cx="2085975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28575</xdr:rowOff>
    </xdr:from>
    <xdr:to>
      <xdr:col>7</xdr:col>
      <xdr:colOff>542925</xdr:colOff>
      <xdr:row>3</xdr:row>
      <xdr:rowOff>47625</xdr:rowOff>
    </xdr:to>
    <xdr:pic>
      <xdr:nvPicPr>
        <xdr:cNvPr id="11556" name="Picture 8" descr="MKT_Logo_Eine starke Verbind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28575"/>
          <a:ext cx="1438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14</xdr:row>
      <xdr:rowOff>76200</xdr:rowOff>
    </xdr:from>
    <xdr:to>
      <xdr:col>7</xdr:col>
      <xdr:colOff>323850</xdr:colOff>
      <xdr:row>27</xdr:row>
      <xdr:rowOff>57150</xdr:rowOff>
    </xdr:to>
    <xdr:pic>
      <xdr:nvPicPr>
        <xdr:cNvPr id="11557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7"/>
        <a:stretch>
          <a:fillRect/>
        </a:stretch>
      </xdr:blipFill>
      <xdr:spPr bwMode="auto">
        <a:xfrm>
          <a:off x="3543300" y="3324225"/>
          <a:ext cx="218122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A1" displayName="TabA1" ref="N2:N8" headerRowCount="0" totalsRowShown="0" headerRowDxfId="79" dataDxfId="78">
  <tableColumns count="1">
    <tableColumn id="1" name="Spalte1" headerRowDxfId="77" dataDxfId="7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4" name="TabIG4" displayName="TabIG4" ref="Q2:Q4" headerRowCount="0" totalsRowShown="0" headerRowDxfId="39" dataDxfId="38">
  <tableColumns count="1">
    <tableColumn id="1" name="Spalte1" headerRowDxfId="37" dataDxfId="3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5" name="TabIG5" displayName="TabIG5" ref="R2:R3" headerRowCount="0" totalsRowShown="0" headerRowDxfId="35" dataDxfId="34">
  <tableColumns count="1">
    <tableColumn id="1" name="Spalte1" headerRowDxfId="33" dataDxfId="3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31" name="TabIG6" displayName="TabIG6" ref="S2:S3" headerRowCount="0" totalsRowShown="0" headerRowDxfId="31" dataDxfId="30">
  <tableColumns count="1">
    <tableColumn id="1" name="Spalte1" headerRowDxfId="29" dataDxfId="28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6" name="TabRE1" displayName="TabRE1" ref="N2:N8" headerRowCount="0" totalsRowShown="0" headerRowDxfId="23" dataDxfId="22">
  <tableColumns count="1">
    <tableColumn id="1" name="Spalte1" headerRowDxfId="21" dataDxfId="20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7" name="TabRE2" displayName="TabRE2" ref="O2:O4" headerRowCount="0" totalsRowShown="0" headerRowDxfId="19" dataDxfId="18">
  <tableColumns count="1">
    <tableColumn id="1" name="Spalte1" headerRowDxfId="17" dataDxfId="1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8" name="TabRE3" displayName="TabRE3" ref="P2:P4" headerRowCount="0" totalsRowShown="0" headerRowDxfId="15" dataDxfId="14">
  <tableColumns count="1">
    <tableColumn id="1" name="Spalte1" headerRowDxfId="13" dataDxfId="12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9" name="TabRE4" displayName="TabRE4" ref="Q2:Q4" headerRowCount="0" totalsRowShown="0" headerRowDxfId="11" dataDxfId="10">
  <tableColumns count="1">
    <tableColumn id="1" name="Spalte1" headerRowDxfId="9" dataDxfId="8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0" name="TabRE5" displayName="TabRE5" ref="R2:R3" headerRowCount="0" totalsRowShown="0" headerRowDxfId="7" dataDxfId="6">
  <tableColumns count="1">
    <tableColumn id="1" name="Spalte1" headerRowDxfId="5" dataDxfId="4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333" name="TabRE6" displayName="TabRE6" ref="S2:S3" headerRowCount="0" totalsRowShown="0" headerRowDxfId="3" dataDxfId="2">
  <tableColumns count="1">
    <tableColumn id="1" name="Spalte1" headerRowDxfId="1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A2" displayName="TabA2" ref="O2:O4" headerRowCount="0" totalsRowShown="0" headerRowDxfId="75" dataDxfId="74">
  <tableColumns count="1">
    <tableColumn id="1" name="Spalte1" headerRowDxfId="73" dataDxfId="7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A3" displayName="TabA3" ref="P2:P4" headerRowCount="0" totalsRowShown="0" headerRowDxfId="71" dataDxfId="70">
  <tableColumns count="1">
    <tableColumn id="1" name="Spalte1" headerRowDxfId="69" dataDxfId="6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A4" displayName="TabA4" ref="Q2:Q4" headerRowCount="0" totalsRowShown="0" headerRowDxfId="67" dataDxfId="66">
  <tableColumns count="1">
    <tableColumn id="1" name="Spalte1" headerRowDxfId="65" dataDxfId="6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A6" displayName="TabA6" ref="S2:S3" headerRowCount="0" totalsRowShown="0" headerRowDxfId="63" dataDxfId="62">
  <tableColumns count="1">
    <tableColumn id="2" name="Spalte2" headerRowDxfId="61" dataDxfId="6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330" name="TabA5" displayName="TabA5" ref="R2:R3" headerRowCount="0" totalsRowShown="0" headerRowDxfId="59" dataDxfId="58">
  <tableColumns count="1">
    <tableColumn id="1" name="Spalte1" headerRowDxfId="57" dataDxfId="5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1" name="TabIG1" displayName="TabIG1" ref="N2:N8" headerRowCount="0" totalsRowShown="0" headerRowDxfId="51" dataDxfId="50">
  <tableColumns count="1">
    <tableColumn id="1" name="Spalte1" headerRowDxfId="49" dataDxfId="4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2" name="TabIG2" displayName="TabIG2" ref="O2:O4" headerRowCount="0" totalsRowShown="0" headerRowDxfId="47" dataDxfId="46">
  <tableColumns count="1">
    <tableColumn id="1" name="Spalte1" headerRowDxfId="45" dataDxfId="44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3" name="TabIG3" displayName="TabIG3" ref="P2:P4" headerRowCount="0" totalsRowShown="0" headerRowDxfId="43" dataDxfId="42">
  <tableColumns count="1">
    <tableColumn id="1" name="Spalte1" headerRowDxfId="41" dataDxfId="4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drawing" Target="../drawings/drawing2.xml"/><Relationship Id="rId7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.xml"/><Relationship Id="rId11" Type="http://schemas.openxmlformats.org/officeDocument/2006/relationships/comments" Target="../comments1.xml"/><Relationship Id="rId5" Type="http://schemas.openxmlformats.org/officeDocument/2006/relationships/table" Target="../tables/table1.xml"/><Relationship Id="rId10" Type="http://schemas.openxmlformats.org/officeDocument/2006/relationships/table" Target="../tables/table6.xml"/><Relationship Id="rId4" Type="http://schemas.openxmlformats.org/officeDocument/2006/relationships/vmlDrawing" Target="../drawings/vmlDrawing1.vml"/><Relationship Id="rId9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10" Type="http://schemas.openxmlformats.org/officeDocument/2006/relationships/comments" Target="../comments2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10" Type="http://schemas.openxmlformats.org/officeDocument/2006/relationships/comments" Target="../comments3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indexed="48"/>
    <pageSetUpPr fitToPage="1"/>
  </sheetPr>
  <dimension ref="A4:N57"/>
  <sheetViews>
    <sheetView showGridLines="0" zoomScaleNormal="100" workbookViewId="0">
      <selection activeCell="A6" sqref="A6:A57"/>
    </sheetView>
  </sheetViews>
  <sheetFormatPr baseColWidth="10" defaultRowHeight="18" customHeight="1" x14ac:dyDescent="0.2"/>
  <cols>
    <col min="1" max="1" width="66.85546875" style="4" customWidth="1"/>
    <col min="2" max="2" width="48.140625" style="4" customWidth="1"/>
    <col min="3" max="3" width="50" style="4" customWidth="1"/>
    <col min="4" max="4" width="37.85546875" style="4" customWidth="1"/>
    <col min="5" max="5" width="6.140625" style="4" bestFit="1" customWidth="1"/>
    <col min="6" max="6" width="13.140625" style="4" customWidth="1"/>
    <col min="7" max="7" width="12" style="8" customWidth="1"/>
    <col min="8" max="8" width="13.7109375" style="8" customWidth="1"/>
    <col min="9" max="9" width="15.7109375" style="8" customWidth="1"/>
    <col min="10" max="10" width="13.7109375" style="8" customWidth="1"/>
    <col min="11" max="11" width="14.7109375" style="4" customWidth="1"/>
    <col min="12" max="12" width="15.7109375" style="4" customWidth="1"/>
    <col min="13" max="14" width="13.7109375" style="4" customWidth="1"/>
    <col min="15" max="16" width="14.7109375" style="4" customWidth="1"/>
    <col min="17" max="16384" width="11.42578125" style="4"/>
  </cols>
  <sheetData>
    <row r="4" spans="1:6" ht="18" customHeight="1" x14ac:dyDescent="0.2">
      <c r="D4" s="4" t="s">
        <v>133</v>
      </c>
    </row>
    <row r="5" spans="1:6" ht="18" customHeight="1" x14ac:dyDescent="0.2">
      <c r="A5" s="30" t="s">
        <v>79</v>
      </c>
      <c r="B5" s="25" t="s">
        <v>56</v>
      </c>
      <c r="C5" s="25" t="s">
        <v>57</v>
      </c>
      <c r="D5" s="25" t="s">
        <v>132</v>
      </c>
    </row>
    <row r="6" spans="1:6" ht="15" customHeight="1" x14ac:dyDescent="0.2">
      <c r="A6" s="18" t="s">
        <v>81</v>
      </c>
      <c r="B6" s="8" t="s">
        <v>39</v>
      </c>
      <c r="C6" s="18" t="s">
        <v>81</v>
      </c>
      <c r="D6" s="8" t="s">
        <v>96</v>
      </c>
      <c r="E6" s="8"/>
      <c r="F6" s="8"/>
    </row>
    <row r="7" spans="1:6" ht="15" customHeight="1" x14ac:dyDescent="0.2">
      <c r="A7" s="18" t="s">
        <v>59</v>
      </c>
      <c r="B7" s="8" t="s">
        <v>58</v>
      </c>
      <c r="C7" s="18" t="s">
        <v>59</v>
      </c>
      <c r="D7" s="8" t="s">
        <v>97</v>
      </c>
      <c r="E7" s="8"/>
      <c r="F7" s="8"/>
    </row>
    <row r="8" spans="1:6" ht="15" customHeight="1" x14ac:dyDescent="0.2">
      <c r="A8" s="18" t="s">
        <v>33</v>
      </c>
      <c r="B8" s="8" t="s">
        <v>74</v>
      </c>
      <c r="C8" s="18" t="s">
        <v>33</v>
      </c>
      <c r="D8" s="8" t="s">
        <v>98</v>
      </c>
      <c r="E8" s="8"/>
      <c r="F8" s="8"/>
    </row>
    <row r="9" spans="1:6" ht="15" customHeight="1" x14ac:dyDescent="0.2">
      <c r="A9" s="18" t="s">
        <v>34</v>
      </c>
      <c r="B9" s="8" t="s">
        <v>40</v>
      </c>
      <c r="C9" s="18" t="s">
        <v>34</v>
      </c>
      <c r="D9" s="8" t="s">
        <v>99</v>
      </c>
      <c r="E9" s="8"/>
      <c r="F9" s="8"/>
    </row>
    <row r="10" spans="1:6" ht="15" customHeight="1" x14ac:dyDescent="0.2">
      <c r="A10" s="18" t="s">
        <v>10</v>
      </c>
      <c r="B10" s="14" t="s">
        <v>41</v>
      </c>
      <c r="C10" s="18" t="s">
        <v>10</v>
      </c>
      <c r="D10" s="14" t="s">
        <v>41</v>
      </c>
      <c r="F10" s="21"/>
    </row>
    <row r="11" spans="1:6" ht="15" customHeight="1" x14ac:dyDescent="0.2">
      <c r="A11" s="18" t="s">
        <v>6</v>
      </c>
      <c r="B11" s="15" t="s">
        <v>6</v>
      </c>
      <c r="C11" s="18" t="s">
        <v>6</v>
      </c>
      <c r="D11" s="15" t="s">
        <v>100</v>
      </c>
      <c r="E11" s="8"/>
      <c r="F11" s="8"/>
    </row>
    <row r="12" spans="1:6" ht="15" customHeight="1" x14ac:dyDescent="0.2">
      <c r="A12" s="18" t="s">
        <v>11</v>
      </c>
      <c r="B12" s="15" t="s">
        <v>42</v>
      </c>
      <c r="C12" s="18" t="s">
        <v>11</v>
      </c>
      <c r="D12" s="15" t="s">
        <v>42</v>
      </c>
      <c r="E12" s="8"/>
      <c r="F12" s="8"/>
    </row>
    <row r="13" spans="1:6" ht="15" customHeight="1" x14ac:dyDescent="0.2">
      <c r="A13" s="18" t="s">
        <v>212</v>
      </c>
      <c r="B13" s="15" t="s">
        <v>211</v>
      </c>
      <c r="C13" s="18" t="s">
        <v>212</v>
      </c>
      <c r="D13" s="15" t="s">
        <v>7</v>
      </c>
      <c r="E13" s="8"/>
      <c r="F13" s="8"/>
    </row>
    <row r="14" spans="1:6" ht="15" customHeight="1" x14ac:dyDescent="0.2">
      <c r="A14" s="8" t="s">
        <v>12</v>
      </c>
      <c r="B14" s="2" t="s">
        <v>43</v>
      </c>
      <c r="C14" s="8" t="s">
        <v>12</v>
      </c>
      <c r="D14" s="2" t="s">
        <v>101</v>
      </c>
      <c r="E14" s="8"/>
      <c r="F14" s="8"/>
    </row>
    <row r="15" spans="1:6" ht="15" customHeight="1" x14ac:dyDescent="0.2">
      <c r="A15" s="8" t="s">
        <v>13</v>
      </c>
      <c r="B15" s="2" t="s">
        <v>44</v>
      </c>
      <c r="C15" s="8" t="s">
        <v>13</v>
      </c>
      <c r="D15" s="2" t="s">
        <v>102</v>
      </c>
      <c r="E15" s="8"/>
      <c r="F15" s="8"/>
    </row>
    <row r="16" spans="1:6" ht="15" customHeight="1" x14ac:dyDescent="0.2">
      <c r="A16" s="8" t="s">
        <v>14</v>
      </c>
      <c r="B16" s="2" t="s">
        <v>45</v>
      </c>
      <c r="C16" s="8" t="s">
        <v>14</v>
      </c>
      <c r="D16" s="2" t="s">
        <v>103</v>
      </c>
      <c r="E16" s="8"/>
      <c r="F16" s="8"/>
    </row>
    <row r="17" spans="1:14" ht="15" customHeight="1" x14ac:dyDescent="0.2">
      <c r="A17" s="8" t="s">
        <v>32</v>
      </c>
      <c r="B17" s="2" t="s">
        <v>78</v>
      </c>
      <c r="C17" s="8" t="s">
        <v>32</v>
      </c>
      <c r="D17" s="2" t="s">
        <v>104</v>
      </c>
      <c r="E17" s="8"/>
      <c r="F17" s="8"/>
    </row>
    <row r="18" spans="1:14" ht="15" customHeight="1" x14ac:dyDescent="0.2">
      <c r="A18" s="8" t="s">
        <v>15</v>
      </c>
      <c r="B18" s="2" t="s">
        <v>46</v>
      </c>
      <c r="C18" s="8" t="s">
        <v>15</v>
      </c>
      <c r="D18" s="2" t="s">
        <v>105</v>
      </c>
      <c r="E18" s="8"/>
      <c r="F18" s="8"/>
    </row>
    <row r="19" spans="1:14" ht="15" customHeight="1" x14ac:dyDescent="0.2">
      <c r="A19" s="8" t="s">
        <v>16</v>
      </c>
      <c r="B19" s="2" t="s">
        <v>47</v>
      </c>
      <c r="C19" s="8" t="s">
        <v>16</v>
      </c>
      <c r="D19" s="2" t="s">
        <v>106</v>
      </c>
      <c r="E19" s="8"/>
      <c r="F19" s="22"/>
    </row>
    <row r="20" spans="1:14" ht="15" customHeight="1" x14ac:dyDescent="0.2">
      <c r="A20" s="12" t="s">
        <v>19</v>
      </c>
      <c r="B20" s="16" t="s">
        <v>48</v>
      </c>
      <c r="C20" s="12" t="s">
        <v>19</v>
      </c>
      <c r="D20" s="16" t="s">
        <v>107</v>
      </c>
      <c r="E20" s="8"/>
      <c r="F20" s="13"/>
    </row>
    <row r="21" spans="1:14" ht="15" customHeight="1" x14ac:dyDescent="0.2">
      <c r="A21" s="8" t="s">
        <v>20</v>
      </c>
      <c r="B21" s="2" t="s">
        <v>49</v>
      </c>
      <c r="C21" s="8" t="s">
        <v>20</v>
      </c>
      <c r="D21" s="2" t="s">
        <v>108</v>
      </c>
      <c r="E21" s="8"/>
      <c r="F21" s="13"/>
      <c r="I21" s="9"/>
    </row>
    <row r="22" spans="1:14" ht="15" customHeight="1" x14ac:dyDescent="0.2">
      <c r="A22" s="8" t="s">
        <v>21</v>
      </c>
      <c r="B22" s="2" t="s">
        <v>50</v>
      </c>
      <c r="C22" s="8" t="s">
        <v>21</v>
      </c>
      <c r="D22" s="2" t="s">
        <v>109</v>
      </c>
      <c r="E22" s="8"/>
      <c r="F22" s="1"/>
      <c r="I22" s="9"/>
    </row>
    <row r="23" spans="1:14" ht="15" customHeight="1" x14ac:dyDescent="0.2">
      <c r="A23" s="8" t="s">
        <v>22</v>
      </c>
      <c r="B23" s="2" t="s">
        <v>51</v>
      </c>
      <c r="C23" s="8" t="s">
        <v>22</v>
      </c>
      <c r="D23" s="2" t="s">
        <v>110</v>
      </c>
      <c r="E23" s="8"/>
      <c r="F23" s="8"/>
      <c r="N23" s="5"/>
    </row>
    <row r="24" spans="1:14" ht="15" customHeight="1" x14ac:dyDescent="0.2">
      <c r="A24" s="8" t="s">
        <v>35</v>
      </c>
      <c r="B24" s="2" t="s">
        <v>60</v>
      </c>
      <c r="C24" s="8" t="s">
        <v>35</v>
      </c>
      <c r="D24" s="2" t="s">
        <v>111</v>
      </c>
      <c r="E24" s="23"/>
      <c r="F24" s="8"/>
      <c r="H24" s="10"/>
      <c r="I24" s="10"/>
    </row>
    <row r="25" spans="1:14" ht="15" customHeight="1" x14ac:dyDescent="0.2">
      <c r="A25" s="12" t="s">
        <v>23</v>
      </c>
      <c r="B25" s="16" t="s">
        <v>52</v>
      </c>
      <c r="C25" s="12" t="s">
        <v>23</v>
      </c>
      <c r="D25" s="16" t="s">
        <v>112</v>
      </c>
      <c r="E25" s="8"/>
      <c r="F25" s="24"/>
      <c r="I25" s="4"/>
      <c r="J25" s="4"/>
    </row>
    <row r="26" spans="1:14" ht="15" customHeight="1" x14ac:dyDescent="0.2">
      <c r="A26" s="19" t="s">
        <v>24</v>
      </c>
      <c r="B26" s="11" t="s">
        <v>53</v>
      </c>
      <c r="C26" s="19" t="s">
        <v>24</v>
      </c>
      <c r="D26" s="11" t="s">
        <v>113</v>
      </c>
      <c r="E26" s="8"/>
      <c r="F26" s="24"/>
      <c r="I26" s="4"/>
      <c r="J26" s="4"/>
    </row>
    <row r="27" spans="1:14" ht="12.75" x14ac:dyDescent="0.2">
      <c r="A27" s="12" t="s">
        <v>25</v>
      </c>
      <c r="B27" s="16" t="s">
        <v>77</v>
      </c>
      <c r="C27" s="12" t="s">
        <v>25</v>
      </c>
      <c r="D27" s="16" t="s">
        <v>114</v>
      </c>
      <c r="E27" s="8"/>
      <c r="F27" s="24"/>
      <c r="I27" s="4"/>
      <c r="J27" s="4"/>
    </row>
    <row r="28" spans="1:14" ht="15" customHeight="1" x14ac:dyDescent="0.2">
      <c r="A28" s="4" t="s">
        <v>28</v>
      </c>
      <c r="B28" s="2" t="s">
        <v>76</v>
      </c>
      <c r="C28" s="4" t="s">
        <v>28</v>
      </c>
      <c r="D28" s="2" t="s">
        <v>115</v>
      </c>
      <c r="E28" s="8"/>
      <c r="F28" s="24"/>
      <c r="I28" s="4"/>
      <c r="J28" s="4"/>
    </row>
    <row r="29" spans="1:14" ht="15" customHeight="1" x14ac:dyDescent="0.2">
      <c r="A29" s="4" t="s">
        <v>37</v>
      </c>
      <c r="B29" s="2" t="s">
        <v>54</v>
      </c>
      <c r="C29" s="4" t="s">
        <v>37</v>
      </c>
      <c r="D29" s="2" t="s">
        <v>116</v>
      </c>
      <c r="E29" s="8"/>
      <c r="F29" s="24"/>
      <c r="I29" s="4"/>
      <c r="J29" s="4"/>
    </row>
    <row r="30" spans="1:14" ht="15" customHeight="1" x14ac:dyDescent="0.2">
      <c r="A30" s="4" t="s">
        <v>38</v>
      </c>
      <c r="B30" s="2" t="s">
        <v>54</v>
      </c>
      <c r="C30" s="4" t="s">
        <v>38</v>
      </c>
      <c r="D30" s="2" t="s">
        <v>116</v>
      </c>
      <c r="E30" s="8"/>
      <c r="F30" s="8"/>
      <c r="H30" s="24"/>
    </row>
    <row r="31" spans="1:14" ht="15" customHeight="1" x14ac:dyDescent="0.2">
      <c r="A31" s="4" t="s">
        <v>61</v>
      </c>
      <c r="B31" s="8" t="s">
        <v>75</v>
      </c>
      <c r="C31" s="4" t="s">
        <v>61</v>
      </c>
      <c r="D31" s="8" t="s">
        <v>117</v>
      </c>
      <c r="E31" s="8"/>
      <c r="F31" s="8"/>
    </row>
    <row r="32" spans="1:14" ht="15" customHeight="1" x14ac:dyDescent="0.2">
      <c r="A32" s="4" t="s">
        <v>62</v>
      </c>
      <c r="B32" s="4" t="s">
        <v>55</v>
      </c>
      <c r="C32" s="4" t="s">
        <v>62</v>
      </c>
      <c r="D32" s="4" t="s">
        <v>118</v>
      </c>
      <c r="E32" s="8"/>
      <c r="F32" s="8"/>
      <c r="H32" s="10"/>
      <c r="I32" s="10"/>
    </row>
    <row r="33" spans="1:11" ht="15" customHeight="1" x14ac:dyDescent="0.2">
      <c r="A33" s="2" t="s">
        <v>29</v>
      </c>
      <c r="B33" s="8" t="s">
        <v>73</v>
      </c>
      <c r="C33" s="2" t="s">
        <v>29</v>
      </c>
      <c r="D33" s="8" t="s">
        <v>119</v>
      </c>
      <c r="E33" s="8"/>
      <c r="F33" s="8"/>
    </row>
    <row r="34" spans="1:11" ht="15" customHeight="1" x14ac:dyDescent="0.2">
      <c r="A34" s="4" t="s">
        <v>182</v>
      </c>
      <c r="B34" s="4" t="s">
        <v>181</v>
      </c>
      <c r="C34" s="4" t="s">
        <v>182</v>
      </c>
      <c r="D34" s="4" t="s">
        <v>183</v>
      </c>
      <c r="E34" s="8"/>
      <c r="F34" s="8"/>
    </row>
    <row r="35" spans="1:11" ht="15" customHeight="1" x14ac:dyDescent="0.2">
      <c r="A35" s="2" t="s">
        <v>30</v>
      </c>
      <c r="B35" s="8" t="s">
        <v>72</v>
      </c>
      <c r="C35" s="2" t="s">
        <v>30</v>
      </c>
      <c r="D35" s="8" t="s">
        <v>120</v>
      </c>
      <c r="E35" s="8"/>
      <c r="F35" s="8"/>
      <c r="G35" s="10"/>
      <c r="J35" s="12"/>
    </row>
    <row r="36" spans="1:11" ht="15" customHeight="1" x14ac:dyDescent="0.2">
      <c r="A36" s="2" t="s">
        <v>17</v>
      </c>
      <c r="B36" s="4" t="s">
        <v>71</v>
      </c>
      <c r="C36" s="2" t="s">
        <v>17</v>
      </c>
      <c r="D36" s="4" t="s">
        <v>121</v>
      </c>
      <c r="E36" s="17"/>
      <c r="F36" s="8"/>
      <c r="G36" s="10"/>
    </row>
    <row r="37" spans="1:11" ht="18" customHeight="1" x14ac:dyDescent="0.2">
      <c r="A37" s="16" t="s">
        <v>31</v>
      </c>
      <c r="B37" s="4" t="s">
        <v>70</v>
      </c>
      <c r="C37" s="16" t="s">
        <v>31</v>
      </c>
      <c r="D37" s="4" t="s">
        <v>122</v>
      </c>
      <c r="G37" s="10"/>
    </row>
    <row r="38" spans="1:11" ht="18" customHeight="1" x14ac:dyDescent="0.2">
      <c r="A38" s="16" t="s">
        <v>18</v>
      </c>
      <c r="B38" s="4" t="s">
        <v>69</v>
      </c>
      <c r="C38" s="16" t="s">
        <v>18</v>
      </c>
      <c r="D38" s="4" t="s">
        <v>123</v>
      </c>
      <c r="G38" s="10"/>
    </row>
    <row r="39" spans="1:11" ht="18" customHeight="1" x14ac:dyDescent="0.2">
      <c r="A39" s="16" t="s">
        <v>27</v>
      </c>
      <c r="B39" s="4" t="s">
        <v>68</v>
      </c>
      <c r="C39" s="16" t="s">
        <v>27</v>
      </c>
      <c r="D39" s="4" t="s">
        <v>124</v>
      </c>
    </row>
    <row r="40" spans="1:11" ht="18" customHeight="1" x14ac:dyDescent="0.2">
      <c r="A40" s="20" t="s">
        <v>26</v>
      </c>
      <c r="B40" s="4" t="s">
        <v>67</v>
      </c>
      <c r="C40" s="20" t="s">
        <v>26</v>
      </c>
      <c r="D40" s="4" t="s">
        <v>125</v>
      </c>
      <c r="I40" s="10"/>
      <c r="J40" s="10"/>
      <c r="K40" s="6"/>
    </row>
    <row r="41" spans="1:11" ht="18" customHeight="1" x14ac:dyDescent="0.2">
      <c r="A41" s="2" t="s">
        <v>140</v>
      </c>
      <c r="B41" s="4" t="s">
        <v>139</v>
      </c>
      <c r="C41" s="2" t="s">
        <v>140</v>
      </c>
      <c r="D41" s="4" t="s">
        <v>141</v>
      </c>
      <c r="I41" s="10"/>
      <c r="J41" s="10"/>
      <c r="K41" s="6"/>
    </row>
    <row r="42" spans="1:11" ht="18" customHeight="1" x14ac:dyDescent="0.2">
      <c r="A42" s="4" t="s">
        <v>63</v>
      </c>
      <c r="B42" s="4" t="s">
        <v>65</v>
      </c>
      <c r="C42" s="4" t="s">
        <v>63</v>
      </c>
      <c r="D42" s="4" t="s">
        <v>126</v>
      </c>
      <c r="J42" s="10"/>
      <c r="K42" s="6"/>
    </row>
    <row r="43" spans="1:11" ht="18" customHeight="1" x14ac:dyDescent="0.2">
      <c r="A43" s="4" t="s">
        <v>64</v>
      </c>
      <c r="B43" s="4" t="s">
        <v>66</v>
      </c>
      <c r="C43" s="4" t="s">
        <v>64</v>
      </c>
      <c r="D43" s="4" t="s">
        <v>127</v>
      </c>
    </row>
    <row r="44" spans="1:11" ht="18" customHeight="1" x14ac:dyDescent="0.2">
      <c r="A44" s="2" t="s">
        <v>94</v>
      </c>
      <c r="B44" s="4" t="s">
        <v>88</v>
      </c>
      <c r="C44" s="2" t="s">
        <v>94</v>
      </c>
      <c r="D44" s="4" t="s">
        <v>128</v>
      </c>
    </row>
    <row r="45" spans="1:11" ht="18" customHeight="1" x14ac:dyDescent="0.2">
      <c r="A45" s="4" t="s">
        <v>83</v>
      </c>
      <c r="B45" s="4" t="s">
        <v>82</v>
      </c>
      <c r="C45" s="4" t="s">
        <v>83</v>
      </c>
      <c r="D45" s="4" t="s">
        <v>129</v>
      </c>
    </row>
    <row r="46" spans="1:11" ht="38.25" x14ac:dyDescent="0.2">
      <c r="A46" s="31" t="s">
        <v>93</v>
      </c>
      <c r="B46" s="31" t="s">
        <v>87</v>
      </c>
      <c r="C46" s="31" t="s">
        <v>93</v>
      </c>
      <c r="D46" s="31" t="s">
        <v>130</v>
      </c>
    </row>
    <row r="47" spans="1:11" ht="18" customHeight="1" x14ac:dyDescent="0.2">
      <c r="A47" s="4" t="s">
        <v>95</v>
      </c>
      <c r="B47" s="4" t="s">
        <v>84</v>
      </c>
      <c r="C47" s="4" t="s">
        <v>95</v>
      </c>
      <c r="D47" s="4" t="s">
        <v>131</v>
      </c>
    </row>
    <row r="48" spans="1:11" ht="18" customHeight="1" x14ac:dyDescent="0.2">
      <c r="A48" s="4" t="s">
        <v>185</v>
      </c>
      <c r="B48" s="4" t="s">
        <v>184</v>
      </c>
      <c r="C48" s="4" t="s">
        <v>185</v>
      </c>
      <c r="D48" s="4" t="s">
        <v>186</v>
      </c>
    </row>
    <row r="49" spans="1:4" ht="18" customHeight="1" x14ac:dyDescent="0.2">
      <c r="A49" s="4" t="s">
        <v>142</v>
      </c>
      <c r="B49" s="4" t="s">
        <v>138</v>
      </c>
      <c r="C49" s="4" t="s">
        <v>142</v>
      </c>
      <c r="D49" s="4" t="s">
        <v>143</v>
      </c>
    </row>
    <row r="50" spans="1:4" ht="18" customHeight="1" x14ac:dyDescent="0.2">
      <c r="A50" s="4" t="s">
        <v>152</v>
      </c>
      <c r="B50" s="4" t="s">
        <v>151</v>
      </c>
      <c r="C50" s="4" t="s">
        <v>152</v>
      </c>
    </row>
    <row r="51" spans="1:4" ht="18" customHeight="1" x14ac:dyDescent="0.2">
      <c r="A51" s="4" t="s">
        <v>154</v>
      </c>
      <c r="B51" s="4" t="s">
        <v>153</v>
      </c>
      <c r="C51" s="4" t="s">
        <v>154</v>
      </c>
    </row>
    <row r="52" spans="1:4" ht="18" customHeight="1" x14ac:dyDescent="0.2">
      <c r="A52" s="4" t="s">
        <v>155</v>
      </c>
      <c r="B52" s="4" t="s">
        <v>150</v>
      </c>
      <c r="C52" s="4" t="s">
        <v>155</v>
      </c>
    </row>
    <row r="53" spans="1:4" ht="18" customHeight="1" x14ac:dyDescent="0.2">
      <c r="A53" s="4" t="s">
        <v>156</v>
      </c>
      <c r="B53" s="4" t="s">
        <v>149</v>
      </c>
      <c r="C53" s="4" t="s">
        <v>156</v>
      </c>
    </row>
    <row r="54" spans="1:4" ht="18" customHeight="1" x14ac:dyDescent="0.2">
      <c r="A54" s="60" t="s">
        <v>195</v>
      </c>
      <c r="B54" s="4" t="s">
        <v>194</v>
      </c>
      <c r="C54" s="60" t="s">
        <v>195</v>
      </c>
    </row>
    <row r="55" spans="1:4" ht="18" customHeight="1" x14ac:dyDescent="0.2">
      <c r="A55" s="4" t="s">
        <v>172</v>
      </c>
      <c r="B55" s="4" t="s">
        <v>168</v>
      </c>
      <c r="C55" s="4" t="s">
        <v>172</v>
      </c>
    </row>
    <row r="56" spans="1:4" ht="18" customHeight="1" x14ac:dyDescent="0.2">
      <c r="A56" s="4" t="s">
        <v>173</v>
      </c>
      <c r="B56" s="4" t="s">
        <v>169</v>
      </c>
      <c r="C56" s="4" t="s">
        <v>173</v>
      </c>
    </row>
    <row r="57" spans="1:4" ht="18" customHeight="1" x14ac:dyDescent="0.2">
      <c r="A57" s="4" t="s">
        <v>174</v>
      </c>
      <c r="B57" s="4" t="s">
        <v>171</v>
      </c>
      <c r="C57" s="4" t="s">
        <v>174</v>
      </c>
    </row>
  </sheetData>
  <phoneticPr fontId="0" type="noConversion"/>
  <pageMargins left="0.75" right="0.6" top="0.6" bottom="1.19" header="0.4921259845" footer="0.4921259845"/>
  <pageSetup paperSize="9" scale="90" orientation="portrait" horizontalDpi="300" r:id="rId1"/>
  <headerFooter alignWithMargins="0">
    <oddFooter>&amp;LMKT-Metall-Kunststoff-Technik GmbH &amp;&amp; Co. KG
Auf dem Immel 2
67685 Weilerbach&amp;RTelefon: +49 (0) 6374 91 16 -0
Telefax: +49 (0) 6374 91 16 61
Email: mkt@mkt-duebel.de
Internet: www.mkt-duebel.de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D69"/>
  <sheetViews>
    <sheetView tabSelected="1" view="pageBreakPreview" zoomScale="90" zoomScaleNormal="100" zoomScaleSheetLayoutView="90" zoomScalePageLayoutView="98" workbookViewId="0">
      <selection activeCell="B4" sqref="B4:E4"/>
    </sheetView>
  </sheetViews>
  <sheetFormatPr baseColWidth="10" defaultRowHeight="18" customHeight="1" x14ac:dyDescent="0.2"/>
  <cols>
    <col min="1" max="1" width="10.7109375" style="3" customWidth="1"/>
    <col min="2" max="2" width="12.7109375" style="3" customWidth="1"/>
    <col min="3" max="3" width="10.7109375" style="3" customWidth="1"/>
    <col min="4" max="4" width="8.7109375" style="3" customWidth="1"/>
    <col min="5" max="5" width="16.7109375" style="3" customWidth="1"/>
    <col min="6" max="7" width="10.7109375" style="3" customWidth="1"/>
    <col min="8" max="8" width="8.7109375" style="3" customWidth="1"/>
    <col min="9" max="9" width="6.28515625" style="3" customWidth="1"/>
    <col min="10" max="10" width="19.28515625" style="3" hidden="1" customWidth="1"/>
    <col min="11" max="13" width="6.28515625" style="3" hidden="1" customWidth="1"/>
    <col min="14" max="16" width="9.85546875" style="3" hidden="1" customWidth="1"/>
    <col min="17" max="17" width="13.85546875" style="3" hidden="1" customWidth="1"/>
    <col min="18" max="18" width="9.85546875" style="3" hidden="1" customWidth="1"/>
    <col min="19" max="19" width="12" style="3" hidden="1" customWidth="1"/>
    <col min="20" max="20" width="7.42578125" style="3" hidden="1" customWidth="1"/>
    <col min="21" max="22" width="13.7109375" style="3" hidden="1" customWidth="1"/>
    <col min="23" max="23" width="13.85546875" style="63" hidden="1" customWidth="1"/>
    <col min="24" max="24" width="11.5703125" style="3" hidden="1" customWidth="1"/>
    <col min="25" max="25" width="11.5703125" style="3" customWidth="1"/>
    <col min="26" max="26" width="11.42578125" style="3"/>
    <col min="27" max="27" width="14.85546875" style="3" customWidth="1"/>
    <col min="28" max="16384" width="11.42578125" style="3"/>
  </cols>
  <sheetData>
    <row r="1" spans="1:30" ht="18" customHeight="1" x14ac:dyDescent="0.25">
      <c r="A1" s="32" t="str">
        <f>'Sprache - language'!A6</f>
        <v>Determination of Quantity of Injection Adhesive Requirement</v>
      </c>
      <c r="B1" s="7"/>
      <c r="C1" s="7"/>
      <c r="D1" s="7"/>
      <c r="E1" s="7"/>
      <c r="F1" s="7"/>
      <c r="G1" s="7"/>
      <c r="H1" s="7"/>
      <c r="J1" s="3" t="s">
        <v>146</v>
      </c>
      <c r="K1" s="62">
        <f>VLOOKUP(C9,J2:K7,2,0)</f>
        <v>1</v>
      </c>
      <c r="L1" s="3" t="str">
        <f>VLOOKUP(C9,J2:L7,3,0)</f>
        <v>TabA1</v>
      </c>
      <c r="N1" s="3" t="s">
        <v>134</v>
      </c>
      <c r="O1" s="3" t="s">
        <v>135</v>
      </c>
      <c r="P1" s="3" t="s">
        <v>137</v>
      </c>
      <c r="Q1" s="3" t="s">
        <v>136</v>
      </c>
      <c r="R1" s="3" t="s">
        <v>145</v>
      </c>
      <c r="S1" s="3" t="s">
        <v>213</v>
      </c>
    </row>
    <row r="2" spans="1:30" ht="18" customHeight="1" x14ac:dyDescent="0.2">
      <c r="A2" s="33" t="str">
        <f>'Sprache - language'!A8</f>
        <v>for anchorings into concrete and solid base materials</v>
      </c>
      <c r="B2" s="7"/>
      <c r="C2" s="4"/>
      <c r="D2" s="4"/>
      <c r="E2" s="4"/>
      <c r="F2" s="4"/>
      <c r="G2" s="7"/>
      <c r="H2" s="7"/>
      <c r="J2" s="3" t="s">
        <v>134</v>
      </c>
      <c r="K2" s="62">
        <v>1</v>
      </c>
      <c r="L2" s="3" t="s">
        <v>206</v>
      </c>
      <c r="N2" s="62">
        <v>150</v>
      </c>
      <c r="O2" s="62">
        <v>280</v>
      </c>
      <c r="P2" s="62">
        <v>385</v>
      </c>
      <c r="Q2" s="62">
        <v>300</v>
      </c>
      <c r="R2" s="62">
        <v>300</v>
      </c>
      <c r="S2" s="62">
        <v>440</v>
      </c>
      <c r="V2" s="64"/>
      <c r="W2" s="65"/>
      <c r="X2" s="64"/>
      <c r="Y2" s="64"/>
      <c r="Z2" s="64"/>
      <c r="AA2" s="64"/>
      <c r="AB2" s="64"/>
      <c r="AC2" s="64"/>
      <c r="AD2" s="64"/>
    </row>
    <row r="3" spans="1:30" ht="18" customHeight="1" x14ac:dyDescent="0.2">
      <c r="A3" s="7"/>
      <c r="B3" s="7"/>
      <c r="C3" s="7"/>
      <c r="D3" s="7"/>
      <c r="E3" s="7"/>
      <c r="F3" s="7"/>
      <c r="G3" s="4"/>
      <c r="H3" s="4"/>
      <c r="J3" s="3" t="s">
        <v>135</v>
      </c>
      <c r="K3" s="62">
        <v>2</v>
      </c>
      <c r="L3" s="3" t="s">
        <v>207</v>
      </c>
      <c r="N3" s="62">
        <v>280</v>
      </c>
      <c r="O3" s="62">
        <v>345</v>
      </c>
      <c r="P3" s="62">
        <v>585</v>
      </c>
      <c r="Q3" s="62">
        <v>345</v>
      </c>
      <c r="R3" s="62">
        <v>410</v>
      </c>
      <c r="S3" s="62">
        <v>585</v>
      </c>
      <c r="U3"/>
      <c r="V3" s="64"/>
      <c r="W3" s="64"/>
      <c r="X3" s="64"/>
      <c r="Y3" s="64"/>
      <c r="Z3" s="64"/>
      <c r="AA3" s="64"/>
      <c r="AB3" s="64"/>
      <c r="AC3" s="64"/>
      <c r="AD3" s="64"/>
    </row>
    <row r="4" spans="1:30" ht="18" customHeight="1" x14ac:dyDescent="0.2">
      <c r="A4" s="34" t="str">
        <f>'Sprache - language'!A10</f>
        <v>Company:</v>
      </c>
      <c r="B4" s="95"/>
      <c r="C4" s="96"/>
      <c r="D4" s="96"/>
      <c r="E4" s="97"/>
      <c r="F4" s="4"/>
      <c r="G4" s="4"/>
      <c r="H4" s="4"/>
      <c r="J4" s="3" t="s">
        <v>137</v>
      </c>
      <c r="K4" s="62">
        <v>3</v>
      </c>
      <c r="L4" s="3" t="s">
        <v>208</v>
      </c>
      <c r="N4" s="62">
        <v>300</v>
      </c>
      <c r="O4" s="62">
        <v>420</v>
      </c>
      <c r="P4" s="62">
        <v>1400</v>
      </c>
      <c r="Q4" s="62">
        <v>420</v>
      </c>
      <c r="V4" s="64"/>
      <c r="W4" s="65"/>
      <c r="X4" s="64"/>
      <c r="Y4" s="64"/>
      <c r="Z4" s="64"/>
      <c r="AA4" s="65"/>
      <c r="AB4" s="64"/>
      <c r="AC4" s="64"/>
      <c r="AD4" s="64"/>
    </row>
    <row r="5" spans="1:30" ht="18" customHeight="1" x14ac:dyDescent="0.2">
      <c r="A5" s="34" t="str">
        <f>'Sprache - language'!A11</f>
        <v>Name:</v>
      </c>
      <c r="B5" s="95"/>
      <c r="C5" s="96"/>
      <c r="D5" s="96"/>
      <c r="E5" s="97"/>
      <c r="F5" s="35" t="str">
        <f>'Sprache - language'!A16</f>
        <v>Date:</v>
      </c>
      <c r="G5" s="106">
        <f ca="1">TODAY()</f>
        <v>44298</v>
      </c>
      <c r="H5" s="107"/>
      <c r="J5" s="3" t="s">
        <v>136</v>
      </c>
      <c r="K5" s="62">
        <v>4</v>
      </c>
      <c r="L5" s="3" t="s">
        <v>209</v>
      </c>
      <c r="N5" s="62">
        <v>345</v>
      </c>
      <c r="V5" s="64"/>
      <c r="W5" s="65"/>
      <c r="X5" s="64"/>
      <c r="Y5" s="64"/>
      <c r="Z5" s="64"/>
      <c r="AA5" s="65"/>
      <c r="AB5" s="64"/>
      <c r="AC5" s="64"/>
      <c r="AD5" s="64"/>
    </row>
    <row r="6" spans="1:30" ht="18" customHeight="1" x14ac:dyDescent="0.2">
      <c r="A6" s="34" t="str">
        <f>'Sprache - language'!A12</f>
        <v>Phone:</v>
      </c>
      <c r="B6" s="95"/>
      <c r="C6" s="96"/>
      <c r="D6" s="97"/>
      <c r="E6" s="35" t="str">
        <f>'Sprache - language'!A14</f>
        <v>Project:</v>
      </c>
      <c r="F6" s="102"/>
      <c r="G6" s="102"/>
      <c r="H6" s="103"/>
      <c r="J6" s="3" t="s">
        <v>145</v>
      </c>
      <c r="K6" s="62">
        <v>5</v>
      </c>
      <c r="L6" s="3" t="s">
        <v>210</v>
      </c>
      <c r="N6" s="62">
        <v>410</v>
      </c>
      <c r="V6" s="64"/>
      <c r="W6" s="65"/>
      <c r="X6" s="64"/>
      <c r="Y6" s="64"/>
      <c r="Z6" s="64"/>
      <c r="AA6" s="65"/>
      <c r="AB6" s="64"/>
      <c r="AC6" s="64"/>
      <c r="AD6" s="66"/>
    </row>
    <row r="7" spans="1:30" ht="18" customHeight="1" x14ac:dyDescent="0.2">
      <c r="A7" s="36" t="str">
        <f>'Sprache - language'!A13</f>
        <v>Email:</v>
      </c>
      <c r="B7" s="98"/>
      <c r="C7" s="98"/>
      <c r="D7" s="98"/>
      <c r="E7" s="35" t="str">
        <f>'Sprache - language'!A15</f>
        <v>Person in Charge:</v>
      </c>
      <c r="F7" s="96"/>
      <c r="G7" s="96"/>
      <c r="H7" s="97"/>
      <c r="J7" s="3" t="s">
        <v>214</v>
      </c>
      <c r="K7" s="62">
        <v>6</v>
      </c>
      <c r="L7" s="3" t="s">
        <v>215</v>
      </c>
      <c r="N7" s="62">
        <v>420</v>
      </c>
      <c r="V7" s="67"/>
      <c r="W7" s="65"/>
      <c r="X7" s="64"/>
      <c r="Y7" s="64"/>
      <c r="Z7" s="68"/>
      <c r="AA7" s="65"/>
      <c r="AB7" s="64"/>
      <c r="AC7" s="64"/>
      <c r="AD7" s="66"/>
    </row>
    <row r="8" spans="1:30" ht="18" customHeight="1" x14ac:dyDescent="0.2">
      <c r="A8" s="7"/>
      <c r="B8" s="7"/>
      <c r="C8" s="7"/>
      <c r="D8" s="7"/>
      <c r="E8" s="7"/>
      <c r="F8" s="7"/>
      <c r="G8" s="7"/>
      <c r="H8" s="7"/>
      <c r="N8" s="62">
        <v>825</v>
      </c>
      <c r="V8" s="67"/>
      <c r="W8" s="65"/>
      <c r="X8" s="64"/>
      <c r="Y8" s="64"/>
      <c r="Z8" s="64"/>
      <c r="AA8" s="65"/>
      <c r="AB8" s="64"/>
      <c r="AC8" s="64"/>
      <c r="AD8" s="66"/>
    </row>
    <row r="9" spans="1:30" ht="18" customHeight="1" x14ac:dyDescent="0.2">
      <c r="A9" s="26" t="str">
        <f>'Sprache - language'!A49</f>
        <v>Mortar:</v>
      </c>
      <c r="B9" s="26"/>
      <c r="C9" s="57" t="s">
        <v>134</v>
      </c>
      <c r="D9" s="26"/>
      <c r="E9" s="7"/>
      <c r="F9" s="7"/>
      <c r="G9" s="7"/>
      <c r="H9" s="7"/>
      <c r="N9" s="62"/>
      <c r="Q9" s="93" t="s">
        <v>193</v>
      </c>
      <c r="R9" s="92" t="s">
        <v>92</v>
      </c>
      <c r="S9" s="92"/>
      <c r="T9" s="92"/>
      <c r="U9" s="94" t="s">
        <v>167</v>
      </c>
      <c r="V9" s="94" t="s">
        <v>189</v>
      </c>
      <c r="W9" s="91" t="s">
        <v>190</v>
      </c>
      <c r="X9" s="64"/>
      <c r="Y9" s="64"/>
      <c r="Z9" s="64"/>
      <c r="AA9" s="65"/>
      <c r="AB9" s="64"/>
      <c r="AC9" s="64"/>
      <c r="AD9" s="66"/>
    </row>
    <row r="10" spans="1:30" ht="21.95" customHeight="1" x14ac:dyDescent="0.2">
      <c r="A10" s="27" t="str">
        <f>'Sprache - language'!A$24</f>
        <v>Size of cartridge:</v>
      </c>
      <c r="B10" s="27"/>
      <c r="C10" s="54">
        <v>585</v>
      </c>
      <c r="D10" s="27" t="s">
        <v>0</v>
      </c>
      <c r="E10" s="56" t="str">
        <f ca="1">IF(COUNTIF(INDIRECT(L1),C10)=0,'Sprache - language'!A$50,"")</f>
        <v>Please check content of cartridge!</v>
      </c>
      <c r="F10" s="7"/>
      <c r="G10" s="7"/>
      <c r="H10" s="7"/>
      <c r="M10" s="29" t="s">
        <v>158</v>
      </c>
      <c r="N10" s="63" t="s">
        <v>157</v>
      </c>
      <c r="O10" s="63" t="s">
        <v>8</v>
      </c>
      <c r="P10" s="65" t="s">
        <v>80</v>
      </c>
      <c r="Q10" s="93"/>
      <c r="R10" s="65" t="s">
        <v>85</v>
      </c>
      <c r="S10" s="65" t="s">
        <v>89</v>
      </c>
      <c r="T10" s="65" t="s">
        <v>86</v>
      </c>
      <c r="U10" s="94"/>
      <c r="V10" s="94"/>
      <c r="W10" s="91"/>
      <c r="X10" s="64"/>
      <c r="Y10" s="64"/>
      <c r="Z10" s="64"/>
      <c r="AA10" s="65"/>
      <c r="AB10" s="64"/>
      <c r="AC10" s="64"/>
      <c r="AD10" s="66"/>
    </row>
    <row r="11" spans="1:30" ht="18" customHeight="1" x14ac:dyDescent="0.2">
      <c r="A11" s="26" t="str">
        <f>'Sprache - language'!A41</f>
        <v>Threaded stud:</v>
      </c>
      <c r="B11" s="26"/>
      <c r="C11" s="61">
        <v>16</v>
      </c>
      <c r="D11" s="26"/>
      <c r="E11" s="7"/>
      <c r="F11" s="7"/>
      <c r="G11" s="7"/>
      <c r="H11" s="7"/>
      <c r="J11" s="65" t="s">
        <v>5</v>
      </c>
      <c r="K11" s="62"/>
      <c r="M11" s="70">
        <f>VLOOKUP(C11,J12:M22,4,0)</f>
        <v>18</v>
      </c>
      <c r="N11" s="71">
        <f>VLOOKUP(C11,J12:N22,5,0)</f>
        <v>16</v>
      </c>
      <c r="O11" s="72">
        <f>VLOOKUP(C11,J12:O22,6,0)</f>
        <v>0.25</v>
      </c>
      <c r="P11" s="72">
        <f>VLOOKUP(C11,J12:P22,7,0)</f>
        <v>157</v>
      </c>
      <c r="Q11" s="72" t="str">
        <f>LOOKUP(C11,J12:J22,Q12:Q22)</f>
        <v>VM-XLE 16</v>
      </c>
      <c r="R11" s="72"/>
      <c r="S11" s="72"/>
      <c r="T11" s="72">
        <f>LOOKUP(C11,J12:J22,T12:T22)</f>
        <v>13</v>
      </c>
      <c r="U11" s="72">
        <f>LOOKUP(C11,J12:J22,U12:U22)</f>
        <v>190</v>
      </c>
      <c r="V11" s="72">
        <f>LOOKUP(C11,J12:J22,V12:V22)</f>
        <v>15</v>
      </c>
      <c r="W11" s="72">
        <f>LOOKUP(C11,J12:J22,W12:W22)</f>
        <v>250</v>
      </c>
      <c r="X11" s="64"/>
      <c r="Y11" s="64"/>
      <c r="Z11" s="64"/>
      <c r="AA11" s="65"/>
      <c r="AB11" s="64"/>
      <c r="AC11" s="64"/>
      <c r="AD11" s="66"/>
    </row>
    <row r="12" spans="1:30" ht="18" customHeight="1" x14ac:dyDescent="0.2">
      <c r="A12" s="26" t="str">
        <f>'Sprache - language'!A34</f>
        <v>Drill bit: (selected)</v>
      </c>
      <c r="B12" s="26"/>
      <c r="C12" s="58">
        <v>18</v>
      </c>
      <c r="D12" s="26"/>
      <c r="E12" s="56" t="str">
        <f>IF(C12&lt;=N11,'Sprache - language'!A$51,"")</f>
        <v/>
      </c>
      <c r="F12" s="7"/>
      <c r="G12" s="7"/>
      <c r="H12" s="7"/>
      <c r="J12" s="73">
        <v>8</v>
      </c>
      <c r="K12" s="62"/>
      <c r="M12" s="74">
        <v>10</v>
      </c>
      <c r="N12" s="75">
        <v>8</v>
      </c>
      <c r="O12" s="76">
        <v>0.35</v>
      </c>
      <c r="P12" s="65">
        <v>36.6</v>
      </c>
      <c r="Q12" s="77" t="s">
        <v>165</v>
      </c>
      <c r="R12" s="65">
        <v>10</v>
      </c>
      <c r="S12" s="65">
        <v>0.8</v>
      </c>
      <c r="T12" s="65">
        <f t="shared" ref="T12:T22" si="0">IF(OR(R12="",R12="-"),"",R12-2*S12)</f>
        <v>8.4</v>
      </c>
      <c r="U12" s="65">
        <f>CHOOSE($K$1,90,80,0,90,90,80)</f>
        <v>90</v>
      </c>
      <c r="V12" s="65">
        <f>CHOOSE($K$1,5,40,20,5,5,40)</f>
        <v>5</v>
      </c>
      <c r="W12" s="65">
        <v>200</v>
      </c>
      <c r="X12" s="64"/>
      <c r="Y12" s="64"/>
      <c r="Z12" s="64"/>
      <c r="AA12" s="65"/>
      <c r="AB12" s="64"/>
      <c r="AC12" s="64"/>
      <c r="AD12" s="66"/>
    </row>
    <row r="13" spans="1:30" ht="18" customHeight="1" x14ac:dyDescent="0.2">
      <c r="A13" s="26" t="str">
        <f>'Sprache - language'!A$18</f>
        <v>Depth of drill hole:</v>
      </c>
      <c r="B13" s="26"/>
      <c r="C13" s="54">
        <v>100</v>
      </c>
      <c r="D13" s="26" t="s">
        <v>4</v>
      </c>
      <c r="E13" s="56" t="str">
        <f>IF(C13&lt;=0,'Sprache - language'!A$52,"")</f>
        <v/>
      </c>
      <c r="F13" s="37"/>
      <c r="G13" s="7"/>
      <c r="H13" s="7"/>
      <c r="J13" s="73">
        <v>10</v>
      </c>
      <c r="K13" s="62"/>
      <c r="M13" s="74">
        <v>12</v>
      </c>
      <c r="N13" s="75">
        <v>10</v>
      </c>
      <c r="O13" s="76">
        <v>0.3</v>
      </c>
      <c r="P13" s="65">
        <v>58</v>
      </c>
      <c r="Q13" s="77" t="s">
        <v>165</v>
      </c>
      <c r="R13" s="65">
        <v>10</v>
      </c>
      <c r="S13" s="65">
        <v>0.8</v>
      </c>
      <c r="T13" s="65">
        <f t="shared" si="0"/>
        <v>8.4</v>
      </c>
      <c r="U13" s="90">
        <f>CHOOSE($K$1,100,90,0,100,100,90)</f>
        <v>100</v>
      </c>
      <c r="V13" s="65">
        <f>CHOOSE($K$1,5,40,20,5,5,40)</f>
        <v>5</v>
      </c>
      <c r="W13" s="65">
        <v>200</v>
      </c>
      <c r="X13" s="64"/>
      <c r="Y13" s="64"/>
      <c r="Z13" s="64"/>
      <c r="AA13" s="65"/>
      <c r="AB13" s="64"/>
      <c r="AC13" s="64"/>
      <c r="AD13" s="66"/>
    </row>
    <row r="14" spans="1:30" ht="18" customHeight="1" x14ac:dyDescent="0.2">
      <c r="A14" s="27" t="str">
        <f>'Sprache - language'!A$23</f>
        <v>Number of holes:</v>
      </c>
      <c r="B14" s="27"/>
      <c r="C14" s="54">
        <v>1</v>
      </c>
      <c r="D14" s="26" t="str">
        <f>IF(C14&lt;=1,'Sprache - language'!A$29,'Sprache - language'!A$30)</f>
        <v>piece</v>
      </c>
      <c r="E14" s="56" t="str">
        <f>IF(C14&lt;=0,'Sprache - language'!A$53,"")</f>
        <v/>
      </c>
      <c r="F14" s="37"/>
      <c r="G14" s="7"/>
      <c r="H14" s="7"/>
      <c r="J14" s="73">
        <v>12</v>
      </c>
      <c r="K14" s="62"/>
      <c r="M14" s="74">
        <v>14</v>
      </c>
      <c r="N14" s="75">
        <v>12</v>
      </c>
      <c r="O14" s="76">
        <v>0.25</v>
      </c>
      <c r="P14" s="65">
        <v>84.3</v>
      </c>
      <c r="Q14" s="77" t="s">
        <v>165</v>
      </c>
      <c r="R14" s="65">
        <v>10</v>
      </c>
      <c r="S14" s="65">
        <v>0.8</v>
      </c>
      <c r="T14" s="65">
        <f t="shared" si="0"/>
        <v>8.4</v>
      </c>
      <c r="U14" s="90">
        <f>CHOOSE($K$1,120,115,0,120,120,220)</f>
        <v>120</v>
      </c>
      <c r="V14" s="65">
        <f>CHOOSE($K$1,5,40,20,5,5,40)</f>
        <v>5</v>
      </c>
      <c r="W14" s="65">
        <v>200</v>
      </c>
      <c r="X14" s="64"/>
      <c r="Y14" s="64"/>
      <c r="Z14" s="64"/>
      <c r="AA14" s="65"/>
      <c r="AB14" s="64"/>
      <c r="AC14" s="64"/>
      <c r="AD14" s="66"/>
    </row>
    <row r="15" spans="1:30" ht="18" customHeight="1" x14ac:dyDescent="0.2">
      <c r="A15" s="7"/>
      <c r="B15" s="7"/>
      <c r="C15" s="7"/>
      <c r="D15" s="53"/>
      <c r="E15" s="7"/>
      <c r="F15" s="7"/>
      <c r="G15" s="7"/>
      <c r="H15" s="7"/>
      <c r="J15" s="73">
        <v>14</v>
      </c>
      <c r="K15" s="62"/>
      <c r="M15" s="74">
        <v>16</v>
      </c>
      <c r="N15" s="75">
        <v>14</v>
      </c>
      <c r="O15" s="76">
        <v>0.25</v>
      </c>
      <c r="P15" s="65">
        <v>115</v>
      </c>
      <c r="Q15" s="77" t="s">
        <v>165</v>
      </c>
      <c r="R15" s="65">
        <v>10</v>
      </c>
      <c r="S15" s="65">
        <v>0.8</v>
      </c>
      <c r="T15" s="65">
        <f t="shared" si="0"/>
        <v>8.4</v>
      </c>
      <c r="U15" s="90">
        <f>CHOOSE($K$1,130,115,0,130,130,220)</f>
        <v>130</v>
      </c>
      <c r="V15" s="65">
        <f>CHOOSE($K$1,5,40,20,5,5,40)</f>
        <v>5</v>
      </c>
      <c r="W15" s="65">
        <v>200</v>
      </c>
      <c r="X15" s="64"/>
      <c r="Y15" s="64"/>
      <c r="Z15" s="64"/>
      <c r="AA15" s="65"/>
      <c r="AB15" s="64"/>
      <c r="AC15" s="64"/>
      <c r="AD15" s="66"/>
    </row>
    <row r="16" spans="1:30" ht="18" customHeight="1" x14ac:dyDescent="0.2">
      <c r="A16" s="38" t="str">
        <f>'Sprache - language'!A35</f>
        <v>Drill bit: (recommended)</v>
      </c>
      <c r="B16" s="39"/>
      <c r="C16" s="55">
        <f>M11</f>
        <v>18</v>
      </c>
      <c r="D16" s="40"/>
      <c r="E16" s="7"/>
      <c r="F16" s="7"/>
      <c r="G16" s="7"/>
      <c r="H16" s="7"/>
      <c r="J16" s="73">
        <v>16</v>
      </c>
      <c r="K16" s="62"/>
      <c r="M16" s="74">
        <v>18</v>
      </c>
      <c r="N16" s="75">
        <v>16</v>
      </c>
      <c r="O16" s="76">
        <v>0.25</v>
      </c>
      <c r="P16" s="65">
        <v>157</v>
      </c>
      <c r="Q16" s="77" t="s">
        <v>166</v>
      </c>
      <c r="R16" s="65">
        <v>16</v>
      </c>
      <c r="S16" s="65">
        <v>1.5</v>
      </c>
      <c r="T16" s="65">
        <f t="shared" si="0"/>
        <v>13</v>
      </c>
      <c r="U16" s="90">
        <f>CHOOSE($K$1,190,115,190,190,190,220)</f>
        <v>190</v>
      </c>
      <c r="V16" s="65">
        <f>IF(OR($K$1=2,$K$1=6),95,15)</f>
        <v>15</v>
      </c>
      <c r="W16" s="63">
        <v>250</v>
      </c>
      <c r="X16" s="78" t="s">
        <v>187</v>
      </c>
      <c r="Y16" s="64"/>
      <c r="Z16" s="64"/>
      <c r="AA16" s="65"/>
      <c r="AB16" s="64"/>
      <c r="AC16" s="64"/>
      <c r="AD16" s="66"/>
    </row>
    <row r="17" spans="1:30" ht="18" customHeight="1" x14ac:dyDescent="0.2">
      <c r="A17" s="28" t="str">
        <f>'Sprache - language'!A$36</f>
        <v>Volume of drill hole:</v>
      </c>
      <c r="B17" s="4"/>
      <c r="C17" s="4">
        <f>N26^2*PI()/4*C13*0.1</f>
        <v>26.590440219984011</v>
      </c>
      <c r="D17" s="41" t="s">
        <v>2</v>
      </c>
      <c r="E17" s="7"/>
      <c r="F17" s="7"/>
      <c r="G17" s="7"/>
      <c r="H17" s="7"/>
      <c r="J17" s="73">
        <v>20</v>
      </c>
      <c r="K17" s="62"/>
      <c r="M17" s="74">
        <f>CHOOSE(K1,24,22,24,24,24,22)</f>
        <v>24</v>
      </c>
      <c r="N17" s="75">
        <v>20</v>
      </c>
      <c r="O17" s="76">
        <v>0.2</v>
      </c>
      <c r="P17" s="65">
        <v>245</v>
      </c>
      <c r="Q17" s="77" t="s">
        <v>166</v>
      </c>
      <c r="R17" s="65">
        <v>16</v>
      </c>
      <c r="S17" s="65">
        <v>1.5</v>
      </c>
      <c r="T17" s="65">
        <f t="shared" si="0"/>
        <v>13</v>
      </c>
      <c r="U17" s="65">
        <f>IF(OR($K$1=2,$K$1=6),220,190)</f>
        <v>190</v>
      </c>
      <c r="V17" s="65">
        <f t="shared" ref="V17:V22" si="1">IF(OR($K$1=2,$K$1=6),95,15)</f>
        <v>15</v>
      </c>
      <c r="W17" s="69">
        <v>250</v>
      </c>
      <c r="X17" s="64"/>
      <c r="Y17" s="64"/>
      <c r="Z17" s="64"/>
      <c r="AA17" s="65"/>
      <c r="AB17" s="64"/>
      <c r="AC17" s="64"/>
      <c r="AD17" s="66"/>
    </row>
    <row r="18" spans="1:30" ht="27" customHeight="1" x14ac:dyDescent="0.2">
      <c r="A18" s="28"/>
      <c r="B18" s="4"/>
      <c r="C18" s="4"/>
      <c r="D18" s="41"/>
      <c r="E18" s="7"/>
      <c r="F18" s="7"/>
      <c r="G18" s="7"/>
      <c r="H18" s="7"/>
      <c r="J18" s="73">
        <v>22</v>
      </c>
      <c r="K18" s="62"/>
      <c r="M18" s="74">
        <f>CHOOSE(K1,26,24,26,26,26,24)</f>
        <v>26</v>
      </c>
      <c r="N18" s="75">
        <v>22</v>
      </c>
      <c r="O18" s="76">
        <v>0.2</v>
      </c>
      <c r="P18" s="65">
        <v>303</v>
      </c>
      <c r="Q18" s="77" t="s">
        <v>166</v>
      </c>
      <c r="R18" s="65">
        <v>16</v>
      </c>
      <c r="S18" s="65">
        <v>1.5</v>
      </c>
      <c r="T18" s="65">
        <f t="shared" si="0"/>
        <v>13</v>
      </c>
      <c r="U18" s="90">
        <f>CHOOSE($K$1,230,240,230,230,230,260)</f>
        <v>230</v>
      </c>
      <c r="V18" s="65">
        <f t="shared" si="1"/>
        <v>15</v>
      </c>
      <c r="W18" s="69">
        <v>250</v>
      </c>
      <c r="X18" s="64"/>
      <c r="Y18" s="64"/>
      <c r="Z18" s="64"/>
      <c r="AA18" s="69"/>
      <c r="AB18" s="64"/>
      <c r="AC18" s="64"/>
      <c r="AD18" s="64"/>
    </row>
    <row r="19" spans="1:30" ht="24" customHeight="1" x14ac:dyDescent="0.2">
      <c r="A19" s="100" t="str">
        <f>IF(C13&lt;=U11,"",'Sprache - language'!A44)</f>
        <v/>
      </c>
      <c r="B19" s="101"/>
      <c r="C19" s="4" t="str">
        <f>IF(A19="","",(N30^2*PI()/4*(N31)/10))</f>
        <v/>
      </c>
      <c r="D19" s="41" t="str">
        <f>IF(A19="","","cm³")</f>
        <v/>
      </c>
      <c r="E19" s="42"/>
      <c r="F19" s="7"/>
      <c r="G19" s="7"/>
      <c r="H19" s="7"/>
      <c r="J19" s="73">
        <v>24</v>
      </c>
      <c r="K19" s="62"/>
      <c r="M19" s="74">
        <v>28</v>
      </c>
      <c r="N19" s="75">
        <v>24</v>
      </c>
      <c r="O19" s="76">
        <v>0.15</v>
      </c>
      <c r="P19" s="65">
        <v>353</v>
      </c>
      <c r="Q19" s="77" t="s">
        <v>166</v>
      </c>
      <c r="R19" s="65">
        <v>16</v>
      </c>
      <c r="S19" s="65">
        <v>1.5</v>
      </c>
      <c r="T19" s="65">
        <f t="shared" si="0"/>
        <v>13</v>
      </c>
      <c r="U19" s="90">
        <f t="shared" ref="U19:U22" si="2">CHOOSE($K$1,230,240,230,230,230,260)</f>
        <v>230</v>
      </c>
      <c r="V19" s="65">
        <f t="shared" si="1"/>
        <v>15</v>
      </c>
      <c r="W19" s="69">
        <v>250</v>
      </c>
      <c r="X19" s="64"/>
      <c r="Y19" s="64"/>
      <c r="Z19" s="64"/>
      <c r="AA19" s="79"/>
      <c r="AB19" s="64"/>
      <c r="AC19" s="64"/>
      <c r="AD19" s="64"/>
    </row>
    <row r="20" spans="1:30" ht="24.75" customHeight="1" x14ac:dyDescent="0.2">
      <c r="A20" s="100" t="str">
        <f>'Sprache - language'!A38</f>
        <v>Volume of threaded stud:</v>
      </c>
      <c r="B20" s="101"/>
      <c r="C20" s="4">
        <f>(N27/100)*C13/10</f>
        <v>15.7</v>
      </c>
      <c r="D20" s="41" t="s">
        <v>2</v>
      </c>
      <c r="E20" s="7"/>
      <c r="F20" s="7"/>
      <c r="G20" s="7"/>
      <c r="H20" s="7"/>
      <c r="J20" s="73">
        <v>27</v>
      </c>
      <c r="K20" s="62"/>
      <c r="M20" s="74">
        <f>CHOOSE(K1,32,30,32,30,30,30)</f>
        <v>32</v>
      </c>
      <c r="N20" s="75">
        <v>27</v>
      </c>
      <c r="O20" s="76">
        <v>0.15</v>
      </c>
      <c r="P20" s="65">
        <v>459</v>
      </c>
      <c r="Q20" s="77" t="s">
        <v>166</v>
      </c>
      <c r="R20" s="65">
        <v>16</v>
      </c>
      <c r="S20" s="65">
        <v>1.5</v>
      </c>
      <c r="T20" s="65">
        <f t="shared" si="0"/>
        <v>13</v>
      </c>
      <c r="U20" s="90">
        <f t="shared" si="2"/>
        <v>230</v>
      </c>
      <c r="V20" s="65">
        <f t="shared" si="1"/>
        <v>15</v>
      </c>
      <c r="W20" s="69">
        <v>250</v>
      </c>
      <c r="X20" s="80"/>
      <c r="Y20" s="80"/>
      <c r="Z20" s="64"/>
      <c r="AA20" s="65"/>
      <c r="AB20" s="80"/>
      <c r="AC20" s="64"/>
      <c r="AD20" s="64"/>
    </row>
    <row r="21" spans="1:30" ht="18" customHeight="1" x14ac:dyDescent="0.2">
      <c r="A21" s="28"/>
      <c r="B21" s="4"/>
      <c r="C21" s="4"/>
      <c r="D21" s="41"/>
      <c r="E21" s="7"/>
      <c r="F21" s="7"/>
      <c r="G21" s="7"/>
      <c r="H21" s="7"/>
      <c r="J21" s="73">
        <v>30</v>
      </c>
      <c r="K21" s="62"/>
      <c r="M21" s="74">
        <v>35</v>
      </c>
      <c r="N21" s="75">
        <v>30</v>
      </c>
      <c r="O21" s="76">
        <v>0.15</v>
      </c>
      <c r="P21" s="65">
        <v>561</v>
      </c>
      <c r="Q21" s="77" t="s">
        <v>166</v>
      </c>
      <c r="R21" s="65">
        <v>16</v>
      </c>
      <c r="S21" s="65">
        <v>1.5</v>
      </c>
      <c r="T21" s="65">
        <f t="shared" si="0"/>
        <v>13</v>
      </c>
      <c r="U21" s="90">
        <f t="shared" si="2"/>
        <v>230</v>
      </c>
      <c r="V21" s="65">
        <f t="shared" si="1"/>
        <v>15</v>
      </c>
      <c r="W21" s="69">
        <v>250</v>
      </c>
    </row>
    <row r="22" spans="1:30" ht="18" customHeight="1" x14ac:dyDescent="0.2">
      <c r="A22" s="104" t="str">
        <f>'Sprache - language'!A$20</f>
        <v>Adhesive volume:</v>
      </c>
      <c r="B22" s="105"/>
      <c r="C22" s="43">
        <f>C17-C20</f>
        <v>10.890440219984011</v>
      </c>
      <c r="D22" s="44" t="s">
        <v>0</v>
      </c>
      <c r="E22" s="7"/>
      <c r="F22" s="7"/>
      <c r="G22" s="7"/>
      <c r="H22" s="7"/>
      <c r="J22" s="73">
        <v>36</v>
      </c>
      <c r="K22" s="62"/>
      <c r="M22" s="74">
        <v>40</v>
      </c>
      <c r="N22" s="75">
        <v>36</v>
      </c>
      <c r="O22" s="76">
        <v>0.15</v>
      </c>
      <c r="P22" s="65">
        <v>817</v>
      </c>
      <c r="Q22" s="77" t="s">
        <v>166</v>
      </c>
      <c r="R22" s="65">
        <v>16</v>
      </c>
      <c r="S22" s="65">
        <v>1.5</v>
      </c>
      <c r="T22" s="65">
        <f t="shared" si="0"/>
        <v>13</v>
      </c>
      <c r="U22" s="90">
        <f t="shared" si="2"/>
        <v>230</v>
      </c>
      <c r="V22" s="65">
        <f t="shared" si="1"/>
        <v>15</v>
      </c>
      <c r="W22" s="69">
        <v>250</v>
      </c>
      <c r="X22" s="64"/>
      <c r="Y22" s="64"/>
    </row>
    <row r="23" spans="1:30" ht="18" customHeight="1" x14ac:dyDescent="0.2">
      <c r="A23" s="7"/>
      <c r="B23" s="7"/>
      <c r="C23" s="7"/>
      <c r="D23" s="7"/>
      <c r="E23" s="45"/>
      <c r="F23" s="7"/>
      <c r="G23" s="45" t="s">
        <v>3</v>
      </c>
      <c r="H23" s="7"/>
      <c r="S23" s="81" t="s">
        <v>90</v>
      </c>
      <c r="V23" s="67"/>
      <c r="W23" s="82"/>
      <c r="X23" s="64"/>
      <c r="Y23" s="64"/>
    </row>
    <row r="24" spans="1:30" ht="18" customHeight="1" x14ac:dyDescent="0.2">
      <c r="A24" s="7" t="str">
        <f>'Sprache - language'!A$21</f>
        <v>Adhesive requirement including excess adhesive</v>
      </c>
      <c r="B24" s="7"/>
      <c r="C24" s="7"/>
      <c r="D24" s="7"/>
      <c r="E24" s="7"/>
      <c r="F24" s="7"/>
      <c r="G24" s="7"/>
      <c r="H24" s="7"/>
      <c r="Q24" s="83"/>
      <c r="R24" s="83"/>
      <c r="S24" s="83"/>
      <c r="T24" s="83"/>
      <c r="U24" s="83"/>
      <c r="V24" s="64"/>
      <c r="W24" s="84"/>
      <c r="X24" s="64"/>
      <c r="Y24" s="64"/>
    </row>
    <row r="25" spans="1:30" ht="18" customHeight="1" x14ac:dyDescent="0.2">
      <c r="A25" s="7" t="str">
        <f>'Sprache - language'!A$22</f>
        <v>Requirement:</v>
      </c>
      <c r="B25" s="7"/>
      <c r="C25" s="7">
        <f>SUM(C22*(1+N28))</f>
        <v>13.613050274980015</v>
      </c>
      <c r="D25" s="7" t="s">
        <v>0</v>
      </c>
      <c r="E25" s="7"/>
      <c r="F25" s="46"/>
      <c r="G25" s="7"/>
      <c r="H25" s="7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64"/>
      <c r="W25" s="84"/>
      <c r="X25" s="64"/>
      <c r="Y25" s="64"/>
    </row>
    <row r="26" spans="1:30" ht="18" customHeight="1" x14ac:dyDescent="0.2">
      <c r="A26" s="7"/>
      <c r="B26" s="7"/>
      <c r="C26" s="7"/>
      <c r="D26" s="7"/>
      <c r="E26" s="7"/>
      <c r="F26" s="4"/>
      <c r="G26" s="7"/>
      <c r="H26" s="7"/>
      <c r="I26" s="83"/>
      <c r="M26" s="29" t="s">
        <v>147</v>
      </c>
      <c r="N26" s="3">
        <f>SUM(C12/10)+0.04</f>
        <v>1.84</v>
      </c>
      <c r="O26" s="3" t="s">
        <v>1</v>
      </c>
      <c r="P26" s="83"/>
      <c r="Q26" s="85"/>
      <c r="R26" s="85"/>
      <c r="S26" s="85"/>
      <c r="T26" s="85"/>
      <c r="U26" s="85"/>
      <c r="V26" s="64"/>
      <c r="W26" s="84"/>
      <c r="X26" s="64"/>
      <c r="Y26" s="64"/>
    </row>
    <row r="27" spans="1:30" ht="18" customHeight="1" x14ac:dyDescent="0.2">
      <c r="E27" s="7"/>
      <c r="F27" s="7"/>
      <c r="G27" s="7"/>
      <c r="H27" s="47"/>
      <c r="I27" s="85"/>
      <c r="K27" s="64"/>
      <c r="M27" s="79" t="s">
        <v>80</v>
      </c>
      <c r="N27" s="79">
        <f>P11</f>
        <v>157</v>
      </c>
      <c r="O27" s="3" t="s">
        <v>159</v>
      </c>
      <c r="P27" s="85"/>
      <c r="V27" s="67"/>
      <c r="W27" s="65"/>
      <c r="X27" s="64"/>
      <c r="Y27" s="64"/>
    </row>
    <row r="28" spans="1:30" ht="27.75" customHeight="1" x14ac:dyDescent="0.2">
      <c r="A28" s="99" t="str">
        <f>'Sprache - language'!A$25</f>
        <v>Total adhesive requirement:</v>
      </c>
      <c r="B28" s="99"/>
      <c r="C28" s="7">
        <f>C14*C25</f>
        <v>13.613050274980015</v>
      </c>
      <c r="D28" s="7" t="s">
        <v>0</v>
      </c>
      <c r="E28" s="48" t="str">
        <f>CONCATENATE('Sprache - language'!A$28," ",ROUND((C28/1000),2)," l")</f>
        <v>equal to: 0,01 l</v>
      </c>
      <c r="F28" s="7"/>
      <c r="G28" s="7"/>
      <c r="H28" s="7"/>
      <c r="M28" s="63" t="s">
        <v>36</v>
      </c>
      <c r="N28" s="80">
        <f>O11</f>
        <v>0.25</v>
      </c>
      <c r="O28" s="3" t="s">
        <v>9</v>
      </c>
      <c r="V28" s="67"/>
      <c r="W28" s="84"/>
      <c r="X28" s="64"/>
      <c r="Y28" s="64"/>
    </row>
    <row r="29" spans="1:30" ht="27" customHeight="1" x14ac:dyDescent="0.2">
      <c r="A29" s="49"/>
      <c r="B29" s="49"/>
      <c r="C29" s="50"/>
      <c r="D29" s="7"/>
      <c r="E29" s="7"/>
      <c r="F29" s="7"/>
      <c r="G29" s="7"/>
      <c r="H29" s="7"/>
      <c r="M29" s="29" t="s">
        <v>148</v>
      </c>
      <c r="N29" s="62">
        <f>IF(OR(K1=3,K1=6),C10-50,C10-40)</f>
        <v>545</v>
      </c>
      <c r="O29" s="3" t="s">
        <v>0</v>
      </c>
      <c r="V29" s="67"/>
      <c r="W29" s="84"/>
      <c r="X29" s="64"/>
      <c r="Y29" s="64"/>
    </row>
    <row r="30" spans="1:30" ht="27" customHeight="1" x14ac:dyDescent="0.2">
      <c r="A30" s="99" t="str">
        <f>'Sprache - language'!A$26</f>
        <v>Number of anchors per cartridge:</v>
      </c>
      <c r="B30" s="99"/>
      <c r="C30" s="7">
        <f>SUM((N29)/(C25))</f>
        <v>40.035112556785151</v>
      </c>
      <c r="D30" s="7" t="str">
        <f>IF(C30&lt;=1,'Sprache - language'!A$29,'Sprache - language'!A$30)</f>
        <v>pieces</v>
      </c>
      <c r="E30" s="7"/>
      <c r="F30" s="7"/>
      <c r="G30" s="7"/>
      <c r="H30" s="7"/>
      <c r="M30" s="29" t="s">
        <v>164</v>
      </c>
      <c r="N30" s="3">
        <f>T11/10</f>
        <v>1.3</v>
      </c>
      <c r="O30" s="3" t="s">
        <v>1</v>
      </c>
      <c r="V30" s="67"/>
      <c r="W30" s="84"/>
      <c r="X30" s="64"/>
      <c r="Y30" s="64"/>
    </row>
    <row r="31" spans="1:30" ht="19.5" customHeight="1" x14ac:dyDescent="0.2">
      <c r="A31" s="49"/>
      <c r="B31" s="49"/>
      <c r="C31" s="7"/>
      <c r="D31" s="7"/>
      <c r="E31" s="7"/>
      <c r="F31" s="7"/>
      <c r="G31" s="7"/>
      <c r="H31" s="7"/>
      <c r="M31" s="29" t="s">
        <v>192</v>
      </c>
      <c r="N31" s="3">
        <f>IF(C13-U11+V11&lt;=W11,W11-V11,C13-U11)</f>
        <v>235</v>
      </c>
      <c r="O31" s="3" t="s">
        <v>4</v>
      </c>
      <c r="P31" s="3" t="s">
        <v>191</v>
      </c>
      <c r="V31" s="67"/>
      <c r="W31" s="84"/>
      <c r="X31" s="64"/>
      <c r="Y31" s="64"/>
    </row>
    <row r="32" spans="1:30" ht="27" customHeight="1" x14ac:dyDescent="0.2">
      <c r="A32" s="99" t="str">
        <f>'Sprache - language'!A$27</f>
        <v>Number of cartridges required:</v>
      </c>
      <c r="B32" s="99"/>
      <c r="C32" s="51" t="str">
        <f ca="1">IF(COUNTIF(E9:E14,"")&lt;6,"",CONCATENATE(ROUNDUP(N33,0),IF(N33&lt;=1," "&amp;'Sprache - language'!A$31," "&amp;'Sprache - language'!A$32)," MKT ",C9," ",C10," ",P33))</f>
        <v/>
      </c>
      <c r="D32" s="7"/>
      <c r="E32" s="7"/>
      <c r="F32" s="52"/>
      <c r="G32" s="52"/>
      <c r="H32" s="7"/>
      <c r="V32" s="64"/>
      <c r="W32" s="65"/>
      <c r="X32" s="64"/>
      <c r="Y32" s="64"/>
    </row>
    <row r="33" spans="1:25" ht="27" customHeight="1" x14ac:dyDescent="0.2">
      <c r="A33" s="7"/>
      <c r="B33" s="7"/>
      <c r="C33" s="47" t="str">
        <f>IF(C19="","",IF(COUNTIF(E9:E14,"")&lt;6,"",CONCATENATE("+"&amp;" "&amp;ROUNDUP(N34,2),IF(N34&lt;=1," "&amp;'Sprache - language'!A31," "&amp;'Sprache - language'!A32)," MKT ",C9," ",C10," ",P34)))</f>
        <v/>
      </c>
      <c r="D33" s="7"/>
      <c r="E33" s="7"/>
      <c r="F33" s="7"/>
      <c r="G33" s="7"/>
      <c r="H33" s="7"/>
      <c r="M33" s="29" t="str">
        <f>'Sprache - language'!A$27</f>
        <v>Number of cartridges required:</v>
      </c>
      <c r="N33" s="3">
        <f>SUM(C25*C14/(N29))</f>
        <v>2.49780738990459E-2</v>
      </c>
      <c r="P33" s="3" t="str">
        <f>IF(C19="","",'Sprache - language'!A47)</f>
        <v/>
      </c>
      <c r="V33" s="64"/>
      <c r="W33" s="82"/>
      <c r="X33" s="64"/>
      <c r="Y33" s="64"/>
    </row>
    <row r="34" spans="1:25" ht="17.25" customHeight="1" x14ac:dyDescent="0.2">
      <c r="A34" s="7"/>
      <c r="B34" s="7"/>
      <c r="C34" s="47"/>
      <c r="D34" s="7"/>
      <c r="E34" s="7"/>
      <c r="F34" s="7"/>
      <c r="G34" s="7"/>
      <c r="H34" s="7"/>
      <c r="N34" s="3" t="str">
        <f>IF(C19="","",C19/N29)</f>
        <v/>
      </c>
      <c r="P34" s="3" t="str">
        <f>IF(C19="","",'Sprache - language'!A48)</f>
        <v/>
      </c>
      <c r="V34" s="64"/>
      <c r="W34" s="67"/>
      <c r="X34" s="64"/>
      <c r="Y34" s="64"/>
    </row>
    <row r="35" spans="1:25" ht="18" customHeight="1" x14ac:dyDescent="0.2">
      <c r="D35" s="7"/>
      <c r="E35" s="7"/>
      <c r="F35" s="7"/>
      <c r="G35" s="7"/>
      <c r="H35" s="7"/>
      <c r="V35" s="64"/>
      <c r="W35" s="67"/>
      <c r="X35" s="86"/>
      <c r="Y35" s="86"/>
    </row>
    <row r="36" spans="1:25" ht="18" customHeight="1" x14ac:dyDescent="0.2">
      <c r="A36" s="7"/>
      <c r="D36" s="7"/>
      <c r="E36" s="7"/>
      <c r="F36" s="7"/>
      <c r="G36" s="7"/>
      <c r="H36" s="7"/>
      <c r="M36" s="48" t="str">
        <f>'Sprache - language'!A$54</f>
        <v>recommended accessories:</v>
      </c>
      <c r="N36" s="59" t="str">
        <f>CONCATENATE(IF(M11&lt;18,CONCATENATE('Sprache - language'!A55,CHOOSE($K$1," VM-X"," VM-XH"," VM-XL"," VM-X"," VM-X"," VM-XHP")),CONCATENATE('Sprache - language'!A55,CHOOSE($K$1," VM-XL"," VM-XH"," VM-XL"," VM-XL"," VM-XL"," VM-XHP"))),IF(C19="","",CONCATENATE("; ",'Sprache - language'!A56," ",Q11)))</f>
        <v>static mixer VM-XL</v>
      </c>
      <c r="V36" s="64"/>
      <c r="W36" s="67"/>
    </row>
    <row r="37" spans="1:25" ht="18" customHeight="1" x14ac:dyDescent="0.2">
      <c r="E37" s="87"/>
      <c r="M37" s="7"/>
      <c r="N37" s="7" t="str">
        <f>IF(C19="","",'Sprache - language'!A57)</f>
        <v/>
      </c>
      <c r="V37" s="64"/>
      <c r="W37" s="67"/>
    </row>
    <row r="38" spans="1:25" ht="18" customHeight="1" x14ac:dyDescent="0.2">
      <c r="V38" s="64"/>
      <c r="W38" s="67"/>
    </row>
    <row r="39" spans="1:25" ht="18" customHeight="1" x14ac:dyDescent="0.2">
      <c r="V39" s="64"/>
      <c r="W39" s="67"/>
    </row>
    <row r="40" spans="1:25" ht="12.75" customHeight="1" x14ac:dyDescent="0.2">
      <c r="V40" s="64"/>
      <c r="W40" s="67"/>
    </row>
    <row r="41" spans="1:25" ht="18" customHeight="1" x14ac:dyDescent="0.2">
      <c r="V41" s="64"/>
      <c r="W41" s="67"/>
    </row>
    <row r="42" spans="1:25" ht="18" customHeight="1" x14ac:dyDescent="0.2">
      <c r="V42" s="64"/>
      <c r="W42" s="67"/>
    </row>
    <row r="43" spans="1:25" ht="18" customHeight="1" x14ac:dyDescent="0.2">
      <c r="V43" s="64"/>
      <c r="W43" s="65"/>
    </row>
    <row r="46" spans="1:25" ht="29.25" customHeight="1" x14ac:dyDescent="0.2"/>
    <row r="69" ht="27.75" customHeight="1" x14ac:dyDescent="0.2"/>
  </sheetData>
  <sheetProtection password="D881" sheet="1" objects="1" scenarios="1" selectLockedCells="1"/>
  <customSheetViews>
    <customSheetView guid="{86FF260A-E7CC-11D4-BD27-0050BA735D1E}" showPageBreaks="1" showGridLines="0" printArea="1" hiddenRows="1" hiddenColumns="1" showRuler="0">
      <selection activeCell="B4" sqref="B4:F4"/>
      <pageMargins left="0.75" right="0.6" top="0.6" bottom="1.19" header="0.4921259845" footer="0.4921259845"/>
      <pageSetup paperSize="9" orientation="portrait" horizontalDpi="300" r:id="rId1"/>
      <headerFooter alignWithMargins="0">
        <oddFooter>&amp;LMKT-Metall-Kunststoff-Technik GmbH &amp;&amp; Co. KG
Auf dem Immel 2
67685 Weilerbach
- nur für den internen Gebrauch -&amp;RTelefon: (06374) 91 16 -0
Telefax: (06374) 91 16 61
email: mkt@mkt-duebel.de</oddFooter>
      </headerFooter>
    </customSheetView>
  </customSheetViews>
  <mergeCells count="18">
    <mergeCell ref="F6:H6"/>
    <mergeCell ref="F7:H7"/>
    <mergeCell ref="A22:B22"/>
    <mergeCell ref="A28:B28"/>
    <mergeCell ref="G5:H5"/>
    <mergeCell ref="B4:E4"/>
    <mergeCell ref="B5:E5"/>
    <mergeCell ref="B6:D6"/>
    <mergeCell ref="B7:D7"/>
    <mergeCell ref="A32:B32"/>
    <mergeCell ref="A30:B30"/>
    <mergeCell ref="A20:B20"/>
    <mergeCell ref="A19:B19"/>
    <mergeCell ref="W9:W10"/>
    <mergeCell ref="R9:T9"/>
    <mergeCell ref="Q9:Q10"/>
    <mergeCell ref="U9:U10"/>
    <mergeCell ref="V9:V10"/>
  </mergeCells>
  <phoneticPr fontId="0" type="noConversion"/>
  <conditionalFormatting sqref="C10">
    <cfRule type="expression" dxfId="83" priority="3" stopIfTrue="1">
      <formula>COUNTIF(INDIRECT(L1),C10)=0</formula>
    </cfRule>
  </conditionalFormatting>
  <conditionalFormatting sqref="C14">
    <cfRule type="expression" dxfId="82" priority="2" stopIfTrue="1">
      <formula>$C$14&lt;=0</formula>
    </cfRule>
  </conditionalFormatting>
  <conditionalFormatting sqref="C13">
    <cfRule type="expression" dxfId="81" priority="1" stopIfTrue="1">
      <formula>$C$13&lt;=0</formula>
    </cfRule>
  </conditionalFormatting>
  <conditionalFormatting sqref="C12">
    <cfRule type="expression" dxfId="80" priority="9" stopIfTrue="1">
      <formula>$C$12&lt;=$N$11</formula>
    </cfRule>
  </conditionalFormatting>
  <dataValidations count="3">
    <dataValidation type="list" allowBlank="1" showInputMessage="1" showErrorMessage="1" sqref="C9">
      <formula1>$J$2:$J$7</formula1>
    </dataValidation>
    <dataValidation type="list" allowBlank="1" showInputMessage="1" showErrorMessage="1" sqref="C10">
      <formula1>INDIRECT($L$1)</formula1>
    </dataValidation>
    <dataValidation type="list" allowBlank="1" showInputMessage="1" showErrorMessage="1" sqref="C11">
      <formula1>$J$12:$J$22</formula1>
    </dataValidation>
  </dataValidations>
  <pageMargins left="0.75" right="0.6" top="0.6" bottom="1.19" header="0.4921259845" footer="0.4921259845"/>
  <pageSetup paperSize="9" orientation="portrait" r:id="rId2"/>
  <headerFooter alignWithMargins="0">
    <oddFooter>&amp;LMKT-Metall-Kunststoff-Technik GmbH &amp;&amp; Co. KG
Auf dem Immel 2
67685 Weilerbach&amp;RPhone: +49 (0) 6374 91 16 -0
Email: info@mkt.de
Internet: www.mkt.de</oddFooter>
  </headerFooter>
  <drawing r:id="rId3"/>
  <legacyDrawing r:id="rId4"/>
  <tableParts count="6"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D68"/>
  <sheetViews>
    <sheetView view="pageBreakPreview" zoomScale="90" zoomScaleNormal="100" zoomScaleSheetLayoutView="90" zoomScalePageLayoutView="98" workbookViewId="0">
      <selection activeCell="B4" sqref="B4:E4"/>
    </sheetView>
  </sheetViews>
  <sheetFormatPr baseColWidth="10" defaultRowHeight="18" customHeight="1" x14ac:dyDescent="0.2"/>
  <cols>
    <col min="1" max="1" width="10.7109375" style="3" customWidth="1"/>
    <col min="2" max="2" width="12.7109375" style="3" customWidth="1"/>
    <col min="3" max="3" width="11.5703125" style="3" customWidth="1"/>
    <col min="4" max="4" width="7.7109375" style="3" customWidth="1"/>
    <col min="5" max="5" width="16.7109375" style="3" customWidth="1"/>
    <col min="6" max="7" width="10.7109375" style="3" customWidth="1"/>
    <col min="8" max="8" width="8.7109375" style="3" customWidth="1"/>
    <col min="9" max="9" width="6.28515625" style="3" customWidth="1"/>
    <col min="10" max="10" width="19.28515625" style="3" hidden="1" customWidth="1"/>
    <col min="11" max="13" width="6.28515625" style="3" hidden="1" customWidth="1"/>
    <col min="14" max="16" width="9.85546875" style="3" hidden="1" customWidth="1"/>
    <col min="17" max="17" width="14" style="3" hidden="1" customWidth="1"/>
    <col min="18" max="18" width="9.85546875" style="3" hidden="1" customWidth="1"/>
    <col min="19" max="19" width="12.42578125" style="3" hidden="1" customWidth="1"/>
    <col min="20" max="20" width="8.140625" style="3" hidden="1" customWidth="1"/>
    <col min="21" max="21" width="12.7109375" style="3" hidden="1" customWidth="1"/>
    <col min="22" max="22" width="20.42578125" style="3" hidden="1" customWidth="1"/>
    <col min="23" max="23" width="18.5703125" style="63" hidden="1" customWidth="1"/>
    <col min="24" max="25" width="11.5703125" style="3" customWidth="1"/>
    <col min="26" max="26" width="11.42578125" style="3"/>
    <col min="27" max="27" width="14.85546875" style="3" customWidth="1"/>
    <col min="28" max="16384" width="11.42578125" style="3"/>
  </cols>
  <sheetData>
    <row r="1" spans="1:30" ht="18" customHeight="1" x14ac:dyDescent="0.25">
      <c r="A1" s="32" t="str">
        <f>'Sprache - language'!A6</f>
        <v>Determination of Quantity of Injection Adhesive Requirement</v>
      </c>
      <c r="B1" s="7"/>
      <c r="C1" s="7"/>
      <c r="D1" s="7"/>
      <c r="E1" s="7"/>
      <c r="F1" s="7"/>
      <c r="G1" s="7"/>
      <c r="H1" s="7"/>
      <c r="J1" s="3" t="s">
        <v>146</v>
      </c>
      <c r="K1" s="62">
        <f>VLOOKUP(C9,J2:K7,2,0)</f>
        <v>1</v>
      </c>
      <c r="L1" s="3" t="str">
        <f>VLOOKUP(C9,J2:L7,3,0)</f>
        <v>TabIG1</v>
      </c>
      <c r="N1" s="3" t="s">
        <v>134</v>
      </c>
      <c r="O1" s="3" t="s">
        <v>135</v>
      </c>
      <c r="P1" s="3" t="s">
        <v>137</v>
      </c>
      <c r="Q1" s="3" t="s">
        <v>136</v>
      </c>
      <c r="R1" s="3" t="s">
        <v>145</v>
      </c>
      <c r="S1" s="3" t="s">
        <v>214</v>
      </c>
    </row>
    <row r="2" spans="1:30" ht="18" customHeight="1" x14ac:dyDescent="0.2">
      <c r="A2" s="33" t="str">
        <f>'Sprache - language'!A8</f>
        <v>for anchorings into concrete and solid base materials</v>
      </c>
      <c r="B2" s="7"/>
      <c r="C2" s="4"/>
      <c r="D2" s="4"/>
      <c r="E2" s="4"/>
      <c r="F2" s="4"/>
      <c r="G2" s="7"/>
      <c r="H2" s="7"/>
      <c r="J2" s="3" t="s">
        <v>134</v>
      </c>
      <c r="K2" s="62">
        <v>1</v>
      </c>
      <c r="L2" s="3" t="s">
        <v>196</v>
      </c>
      <c r="N2" s="62">
        <v>150</v>
      </c>
      <c r="O2" s="62">
        <v>280</v>
      </c>
      <c r="P2" s="62">
        <v>385</v>
      </c>
      <c r="Q2" s="62">
        <v>300</v>
      </c>
      <c r="R2" s="62">
        <v>300</v>
      </c>
      <c r="S2" s="62">
        <v>440</v>
      </c>
      <c r="V2" s="64"/>
      <c r="W2" s="65"/>
      <c r="X2" s="64"/>
      <c r="Y2" s="64"/>
      <c r="Z2" s="64"/>
      <c r="AA2" s="64"/>
      <c r="AB2" s="64"/>
      <c r="AC2" s="64"/>
      <c r="AD2" s="64"/>
    </row>
    <row r="3" spans="1:30" ht="18" customHeight="1" x14ac:dyDescent="0.2">
      <c r="A3" s="7"/>
      <c r="B3" s="7"/>
      <c r="C3" s="7"/>
      <c r="D3" s="7"/>
      <c r="E3" s="7"/>
      <c r="F3" s="7"/>
      <c r="G3" s="4"/>
      <c r="H3" s="4"/>
      <c r="J3" s="3" t="s">
        <v>135</v>
      </c>
      <c r="K3" s="62">
        <v>2</v>
      </c>
      <c r="L3" s="3" t="s">
        <v>197</v>
      </c>
      <c r="N3" s="62">
        <v>280</v>
      </c>
      <c r="O3" s="62">
        <v>345</v>
      </c>
      <c r="P3" s="62">
        <v>585</v>
      </c>
      <c r="Q3" s="62">
        <v>345</v>
      </c>
      <c r="R3" s="62">
        <v>410</v>
      </c>
      <c r="S3" s="62">
        <v>585</v>
      </c>
      <c r="V3" s="64"/>
      <c r="W3" s="64"/>
      <c r="X3" s="64"/>
      <c r="Y3" s="64"/>
      <c r="Z3" s="64"/>
      <c r="AA3" s="64"/>
      <c r="AB3" s="64"/>
      <c r="AC3" s="64"/>
      <c r="AD3" s="64"/>
    </row>
    <row r="4" spans="1:30" ht="18" customHeight="1" x14ac:dyDescent="0.2">
      <c r="A4" s="34" t="str">
        <f>'Sprache - language'!A10</f>
        <v>Company:</v>
      </c>
      <c r="B4" s="95"/>
      <c r="C4" s="96"/>
      <c r="D4" s="96"/>
      <c r="E4" s="97"/>
      <c r="F4" s="4"/>
      <c r="G4" s="4"/>
      <c r="H4" s="4"/>
      <c r="J4" s="3" t="s">
        <v>137</v>
      </c>
      <c r="K4" s="62">
        <v>3</v>
      </c>
      <c r="L4" s="3" t="s">
        <v>198</v>
      </c>
      <c r="N4" s="62">
        <v>300</v>
      </c>
      <c r="O4" s="62">
        <v>420</v>
      </c>
      <c r="P4" s="62">
        <v>1400</v>
      </c>
      <c r="Q4" s="62">
        <v>420</v>
      </c>
      <c r="V4" s="64"/>
      <c r="W4" s="65"/>
      <c r="X4" s="64"/>
      <c r="Y4" s="64"/>
      <c r="Z4" s="64"/>
      <c r="AA4" s="65"/>
      <c r="AB4" s="64"/>
      <c r="AC4" s="64"/>
      <c r="AD4" s="64"/>
    </row>
    <row r="5" spans="1:30" ht="18" customHeight="1" x14ac:dyDescent="0.2">
      <c r="A5" s="34" t="str">
        <f>'Sprache - language'!A11</f>
        <v>Name:</v>
      </c>
      <c r="B5" s="95"/>
      <c r="C5" s="96"/>
      <c r="D5" s="96"/>
      <c r="E5" s="97"/>
      <c r="F5" s="35" t="str">
        <f>'Sprache - language'!A16</f>
        <v>Date:</v>
      </c>
      <c r="G5" s="106">
        <f ca="1">TODAY()</f>
        <v>44298</v>
      </c>
      <c r="H5" s="107"/>
      <c r="J5" s="3" t="s">
        <v>136</v>
      </c>
      <c r="K5" s="62">
        <v>4</v>
      </c>
      <c r="L5" s="3" t="s">
        <v>199</v>
      </c>
      <c r="N5" s="62">
        <v>345</v>
      </c>
      <c r="V5" s="64"/>
      <c r="W5" s="65"/>
      <c r="X5" s="64"/>
      <c r="Y5" s="64"/>
      <c r="Z5" s="64"/>
      <c r="AA5" s="65"/>
      <c r="AB5" s="64"/>
      <c r="AC5" s="64"/>
      <c r="AD5" s="64"/>
    </row>
    <row r="6" spans="1:30" ht="18" customHeight="1" x14ac:dyDescent="0.2">
      <c r="A6" s="34" t="str">
        <f>'Sprache - language'!A12</f>
        <v>Phone:</v>
      </c>
      <c r="B6" s="95"/>
      <c r="C6" s="96"/>
      <c r="D6" s="97"/>
      <c r="E6" s="35" t="str">
        <f>'Sprache - language'!A14</f>
        <v>Project:</v>
      </c>
      <c r="F6" s="102"/>
      <c r="G6" s="102"/>
      <c r="H6" s="103"/>
      <c r="J6" s="3" t="s">
        <v>145</v>
      </c>
      <c r="K6" s="62">
        <v>5</v>
      </c>
      <c r="L6" s="3" t="s">
        <v>200</v>
      </c>
      <c r="N6" s="62">
        <v>410</v>
      </c>
      <c r="V6" s="64"/>
      <c r="W6" s="65"/>
      <c r="X6" s="64"/>
      <c r="Y6" s="64"/>
      <c r="Z6" s="64"/>
      <c r="AA6" s="65"/>
      <c r="AB6" s="64"/>
      <c r="AC6" s="64"/>
      <c r="AD6" s="66"/>
    </row>
    <row r="7" spans="1:30" ht="18" customHeight="1" x14ac:dyDescent="0.2">
      <c r="A7" s="36" t="str">
        <f>'Sprache - language'!A13</f>
        <v>Email:</v>
      </c>
      <c r="B7" s="98"/>
      <c r="C7" s="98"/>
      <c r="D7" s="98"/>
      <c r="E7" s="35" t="str">
        <f>'Sprache - language'!A15</f>
        <v>Person in Charge:</v>
      </c>
      <c r="F7" s="96"/>
      <c r="G7" s="96"/>
      <c r="H7" s="97"/>
      <c r="J7" s="3" t="s">
        <v>214</v>
      </c>
      <c r="K7" s="62">
        <v>6</v>
      </c>
      <c r="L7" s="3" t="s">
        <v>216</v>
      </c>
      <c r="N7" s="62">
        <v>420</v>
      </c>
      <c r="V7" s="67"/>
      <c r="W7" s="65"/>
      <c r="X7" s="64"/>
      <c r="Y7" s="64"/>
      <c r="Z7" s="68"/>
      <c r="AA7" s="65"/>
      <c r="AB7" s="64"/>
      <c r="AC7" s="64"/>
      <c r="AD7" s="66"/>
    </row>
    <row r="8" spans="1:30" ht="18" customHeight="1" x14ac:dyDescent="0.2">
      <c r="A8" s="7"/>
      <c r="B8" s="7"/>
      <c r="C8" s="7"/>
      <c r="D8" s="7"/>
      <c r="E8" s="7"/>
      <c r="F8" s="7"/>
      <c r="G8" s="7"/>
      <c r="H8" s="7"/>
      <c r="N8" s="62">
        <v>825</v>
      </c>
      <c r="V8" s="67"/>
      <c r="W8" s="65"/>
      <c r="X8" s="64"/>
      <c r="Y8" s="64"/>
      <c r="Z8" s="64"/>
      <c r="AA8" s="65"/>
      <c r="AB8" s="64"/>
      <c r="AC8" s="64"/>
      <c r="AD8" s="66"/>
    </row>
    <row r="9" spans="1:30" ht="18" customHeight="1" x14ac:dyDescent="0.2">
      <c r="A9" s="26" t="str">
        <f>'Sprache - language'!A49</f>
        <v>Mortar:</v>
      </c>
      <c r="B9" s="26"/>
      <c r="C9" s="57" t="s">
        <v>134</v>
      </c>
      <c r="D9" s="26"/>
      <c r="E9" s="7"/>
      <c r="F9" s="7"/>
      <c r="G9" s="7"/>
      <c r="H9" s="7"/>
      <c r="N9" s="62"/>
      <c r="Q9" s="93" t="s">
        <v>193</v>
      </c>
      <c r="R9" s="92" t="s">
        <v>92</v>
      </c>
      <c r="S9" s="92"/>
      <c r="T9" s="92"/>
      <c r="U9" s="94" t="s">
        <v>167</v>
      </c>
      <c r="V9" s="94" t="s">
        <v>189</v>
      </c>
      <c r="W9" s="91" t="s">
        <v>190</v>
      </c>
      <c r="X9" s="64"/>
      <c r="Y9" s="64"/>
      <c r="Z9" s="64"/>
      <c r="AA9" s="65"/>
      <c r="AB9" s="64"/>
      <c r="AC9" s="64"/>
      <c r="AD9" s="66"/>
    </row>
    <row r="10" spans="1:30" ht="21.95" customHeight="1" x14ac:dyDescent="0.2">
      <c r="A10" s="27" t="str">
        <f>'Sprache - language'!A$24</f>
        <v>Size of cartridge:</v>
      </c>
      <c r="B10" s="27"/>
      <c r="C10" s="54">
        <v>585</v>
      </c>
      <c r="D10" s="27" t="s">
        <v>0</v>
      </c>
      <c r="E10" s="56" t="str">
        <f ca="1">IF(COUNTIF(INDIRECT(L1),C10)=0,'Sprache - language'!A$50,"")</f>
        <v>Please check content of cartridge!</v>
      </c>
      <c r="F10" s="7"/>
      <c r="G10" s="7"/>
      <c r="H10" s="7"/>
      <c r="M10" s="29" t="s">
        <v>158</v>
      </c>
      <c r="N10" s="63" t="s">
        <v>157</v>
      </c>
      <c r="O10" s="63" t="s">
        <v>8</v>
      </c>
      <c r="P10" s="65" t="s">
        <v>80</v>
      </c>
      <c r="Q10" s="93"/>
      <c r="R10" s="65" t="s">
        <v>85</v>
      </c>
      <c r="S10" s="65" t="s">
        <v>89</v>
      </c>
      <c r="T10" s="65" t="s">
        <v>86</v>
      </c>
      <c r="U10" s="94"/>
      <c r="V10" s="94"/>
      <c r="W10" s="91"/>
      <c r="X10" s="64"/>
      <c r="Y10" s="64"/>
      <c r="Z10" s="64"/>
      <c r="AA10" s="65"/>
      <c r="AB10" s="64"/>
      <c r="AC10" s="64"/>
      <c r="AD10" s="66"/>
    </row>
    <row r="11" spans="1:30" ht="18" customHeight="1" x14ac:dyDescent="0.2">
      <c r="A11" s="26" t="str">
        <f>'Sprache - language'!A40</f>
        <v>Internally threaded sleeve:</v>
      </c>
      <c r="B11" s="26"/>
      <c r="C11" s="57" t="s">
        <v>176</v>
      </c>
      <c r="D11" s="26"/>
      <c r="E11" s="7"/>
      <c r="F11" s="7"/>
      <c r="G11" s="7"/>
      <c r="H11" s="7"/>
      <c r="J11" s="65" t="s">
        <v>5</v>
      </c>
      <c r="K11" s="62"/>
      <c r="L11" s="64"/>
      <c r="M11" s="70">
        <f>VLOOKUP(C11,J12:M21,4,0)</f>
        <v>14</v>
      </c>
      <c r="N11" s="71">
        <f>VLOOKUP(C11,J12:N21,5,0)</f>
        <v>12</v>
      </c>
      <c r="O11" s="72">
        <f>VLOOKUP(C11,J12:O21,6,0)</f>
        <v>0.25</v>
      </c>
      <c r="P11" s="72">
        <f>VLOOKUP($C$11,$J$12:P21,7,0)</f>
        <v>84.3</v>
      </c>
      <c r="Q11" s="72" t="str">
        <f>VLOOKUP($C$11,$J$12:Q21,8,0)</f>
        <v>VM-XE 10</v>
      </c>
      <c r="R11" s="72"/>
      <c r="S11" s="72"/>
      <c r="T11" s="72">
        <f>VLOOKUP($C$11,$J$12:T21,11,0)</f>
        <v>8.4</v>
      </c>
      <c r="U11" s="72">
        <f>VLOOKUP($C$11,$J$12:U21,12,0)</f>
        <v>120</v>
      </c>
      <c r="V11" s="72">
        <f>VLOOKUP($C$11,$J$12:V21,13,0)</f>
        <v>5</v>
      </c>
      <c r="W11" s="72">
        <f>VLOOKUP($C$11,$J$12:W21,14,0)</f>
        <v>200</v>
      </c>
      <c r="X11" s="64"/>
      <c r="Y11" s="64"/>
      <c r="Z11" s="64"/>
      <c r="AA11" s="65"/>
      <c r="AB11" s="64"/>
      <c r="AC11" s="64"/>
      <c r="AD11" s="66"/>
    </row>
    <row r="12" spans="1:30" ht="18" customHeight="1" x14ac:dyDescent="0.2">
      <c r="A12" s="26" t="str">
        <f>'Sprache - language'!A34</f>
        <v>Drill bit: (selected)</v>
      </c>
      <c r="B12" s="26"/>
      <c r="C12" s="58">
        <v>14</v>
      </c>
      <c r="D12" s="26"/>
      <c r="E12" s="56" t="str">
        <f>IF(C12&lt;=N11,'Sprache - language'!A$51,"")</f>
        <v/>
      </c>
      <c r="F12" s="7"/>
      <c r="G12" s="7"/>
      <c r="H12" s="7"/>
      <c r="J12" s="65" t="s">
        <v>175</v>
      </c>
      <c r="K12" s="62"/>
      <c r="M12" s="74">
        <v>12</v>
      </c>
      <c r="N12" s="75">
        <v>10</v>
      </c>
      <c r="O12" s="76">
        <v>0.3</v>
      </c>
      <c r="P12" s="65">
        <v>58</v>
      </c>
      <c r="Q12" s="77" t="s">
        <v>165</v>
      </c>
      <c r="R12" s="65">
        <v>10</v>
      </c>
      <c r="S12" s="65">
        <v>0.8</v>
      </c>
      <c r="T12" s="65">
        <f t="shared" ref="T12:T17" si="0">IF(OR(R12="",R12="-"),"",R12-2*S12)</f>
        <v>8.4</v>
      </c>
      <c r="U12" s="90">
        <f>CHOOSE($K$1,100,90,0,100,100,90)</f>
        <v>100</v>
      </c>
      <c r="V12" s="65">
        <f>CHOOSE($K$1,5,40,20,5,5,40)</f>
        <v>5</v>
      </c>
      <c r="W12" s="65">
        <v>200</v>
      </c>
      <c r="X12" s="64"/>
      <c r="Y12" s="64"/>
      <c r="Z12" s="64"/>
      <c r="AA12" s="65"/>
      <c r="AB12" s="64"/>
      <c r="AC12" s="64"/>
      <c r="AD12" s="66"/>
    </row>
    <row r="13" spans="1:30" ht="18" customHeight="1" x14ac:dyDescent="0.2">
      <c r="A13" s="26" t="str">
        <f>'Sprache - language'!A$18</f>
        <v>Depth of drill hole:</v>
      </c>
      <c r="B13" s="26"/>
      <c r="C13" s="54">
        <v>200</v>
      </c>
      <c r="D13" s="26" t="s">
        <v>4</v>
      </c>
      <c r="E13" s="56" t="str">
        <f>IF(C13&lt;=0,'Sprache - language'!A$52,"")</f>
        <v/>
      </c>
      <c r="F13" s="37"/>
      <c r="G13" s="7"/>
      <c r="H13" s="7"/>
      <c r="J13" s="65" t="s">
        <v>176</v>
      </c>
      <c r="K13" s="62"/>
      <c r="M13" s="74">
        <v>14</v>
      </c>
      <c r="N13" s="75">
        <v>12</v>
      </c>
      <c r="O13" s="76">
        <v>0.25</v>
      </c>
      <c r="P13" s="65">
        <v>84.3</v>
      </c>
      <c r="Q13" s="77" t="s">
        <v>165</v>
      </c>
      <c r="R13" s="65">
        <v>10</v>
      </c>
      <c r="S13" s="65">
        <v>0.8</v>
      </c>
      <c r="T13" s="65">
        <f t="shared" si="0"/>
        <v>8.4</v>
      </c>
      <c r="U13" s="90">
        <f>CHOOSE($K$1,120,115,0,120,120,220)</f>
        <v>120</v>
      </c>
      <c r="V13" s="65">
        <f>CHOOSE($K$1,5,40,20,5,5,40)</f>
        <v>5</v>
      </c>
      <c r="W13" s="65">
        <v>200</v>
      </c>
      <c r="X13" s="64"/>
      <c r="Y13" s="64"/>
      <c r="Z13" s="64"/>
      <c r="AA13" s="65"/>
      <c r="AB13" s="64"/>
      <c r="AC13" s="64"/>
      <c r="AD13" s="66"/>
    </row>
    <row r="14" spans="1:30" ht="18" customHeight="1" x14ac:dyDescent="0.2">
      <c r="A14" s="27" t="str">
        <f>'Sprache - language'!A$23</f>
        <v>Number of holes:</v>
      </c>
      <c r="B14" s="27"/>
      <c r="C14" s="54">
        <v>100</v>
      </c>
      <c r="D14" s="26" t="str">
        <f>IF(C14&lt;=1,'Sprache - language'!A$29,'Sprache - language'!A$30)</f>
        <v>pieces</v>
      </c>
      <c r="E14" s="56" t="str">
        <f>IF(C14&lt;=0,'Sprache - language'!A$53,"")</f>
        <v/>
      </c>
      <c r="F14" s="37"/>
      <c r="G14" s="7"/>
      <c r="H14" s="7"/>
      <c r="J14" s="65" t="s">
        <v>177</v>
      </c>
      <c r="K14" s="62"/>
      <c r="M14" s="74">
        <v>18</v>
      </c>
      <c r="N14" s="75">
        <v>16</v>
      </c>
      <c r="O14" s="76">
        <v>0.25</v>
      </c>
      <c r="P14" s="65">
        <v>157</v>
      </c>
      <c r="Q14" s="77" t="s">
        <v>166</v>
      </c>
      <c r="R14" s="65">
        <v>16</v>
      </c>
      <c r="S14" s="65">
        <v>1.5</v>
      </c>
      <c r="T14" s="65">
        <f t="shared" si="0"/>
        <v>13</v>
      </c>
      <c r="U14" s="90">
        <f>CHOOSE($K$1,190,115,190,190,190,220)</f>
        <v>190</v>
      </c>
      <c r="V14" s="65">
        <f>IF(OR($K$1=2,$K$1=6),95,15)</f>
        <v>15</v>
      </c>
      <c r="W14" s="63">
        <v>250</v>
      </c>
      <c r="X14" s="64"/>
      <c r="Y14" s="64"/>
      <c r="Z14" s="64"/>
      <c r="AA14" s="65"/>
      <c r="AB14" s="64"/>
      <c r="AC14" s="64"/>
      <c r="AD14" s="66"/>
    </row>
    <row r="15" spans="1:30" ht="18" customHeight="1" x14ac:dyDescent="0.2">
      <c r="A15" s="7"/>
      <c r="B15" s="7"/>
      <c r="C15" s="7"/>
      <c r="D15" s="53"/>
      <c r="E15" s="7"/>
      <c r="F15" s="7"/>
      <c r="G15" s="7"/>
      <c r="H15" s="7"/>
      <c r="J15" s="65" t="s">
        <v>178</v>
      </c>
      <c r="K15" s="62"/>
      <c r="M15" s="74">
        <f>CHOOSE(K1,24,22,24,24,24,22)</f>
        <v>24</v>
      </c>
      <c r="N15" s="75">
        <v>20</v>
      </c>
      <c r="O15" s="76">
        <v>0.2</v>
      </c>
      <c r="P15" s="65">
        <v>245</v>
      </c>
      <c r="Q15" s="77" t="s">
        <v>166</v>
      </c>
      <c r="R15" s="65">
        <v>16</v>
      </c>
      <c r="S15" s="65">
        <v>1.5</v>
      </c>
      <c r="T15" s="65">
        <f t="shared" si="0"/>
        <v>13</v>
      </c>
      <c r="U15" s="65">
        <f>IF(OR($K$1=2,$K$1=6),220,190)</f>
        <v>190</v>
      </c>
      <c r="V15" s="65">
        <f t="shared" ref="V15:V17" si="1">IF(OR($K$1=2,$K$1=6),95,15)</f>
        <v>15</v>
      </c>
      <c r="W15" s="69">
        <v>250</v>
      </c>
      <c r="X15" s="64"/>
      <c r="Y15" s="64"/>
      <c r="Z15" s="64"/>
      <c r="AA15" s="65"/>
      <c r="AB15" s="64"/>
      <c r="AC15" s="64"/>
      <c r="AD15" s="66"/>
    </row>
    <row r="16" spans="1:30" ht="18" customHeight="1" x14ac:dyDescent="0.2">
      <c r="A16" s="38" t="str">
        <f>'Sprache - language'!A35</f>
        <v>Drill bit: (recommended)</v>
      </c>
      <c r="B16" s="39"/>
      <c r="C16" s="55">
        <f>M11</f>
        <v>14</v>
      </c>
      <c r="D16" s="40"/>
      <c r="E16" s="7"/>
      <c r="F16" s="7"/>
      <c r="G16" s="7"/>
      <c r="H16" s="7"/>
      <c r="J16" s="65" t="s">
        <v>179</v>
      </c>
      <c r="K16" s="62"/>
      <c r="M16" s="74">
        <v>28</v>
      </c>
      <c r="N16" s="75">
        <v>24</v>
      </c>
      <c r="O16" s="76">
        <v>0.15</v>
      </c>
      <c r="P16" s="65">
        <v>353</v>
      </c>
      <c r="Q16" s="77" t="s">
        <v>166</v>
      </c>
      <c r="R16" s="65">
        <v>16</v>
      </c>
      <c r="S16" s="65">
        <v>1.5</v>
      </c>
      <c r="T16" s="65">
        <f t="shared" si="0"/>
        <v>13</v>
      </c>
      <c r="U16" s="90">
        <f>CHOOSE($K$1,230,240,230,230,230,260)</f>
        <v>230</v>
      </c>
      <c r="V16" s="65">
        <f t="shared" si="1"/>
        <v>15</v>
      </c>
      <c r="W16" s="69">
        <v>250</v>
      </c>
      <c r="X16" s="64"/>
      <c r="Y16" s="64"/>
      <c r="Z16" s="64"/>
      <c r="AA16" s="65"/>
      <c r="AB16" s="64"/>
      <c r="AC16" s="64"/>
      <c r="AD16" s="66"/>
    </row>
    <row r="17" spans="1:30" ht="18" customHeight="1" x14ac:dyDescent="0.2">
      <c r="A17" s="28" t="str">
        <f>'Sprache - language'!A$36</f>
        <v>Volume of drill hole:</v>
      </c>
      <c r="B17" s="4"/>
      <c r="C17" s="4">
        <f>N25^2*PI()/4*C13*0.1</f>
        <v>32.572032632418974</v>
      </c>
      <c r="D17" s="41" t="s">
        <v>2</v>
      </c>
      <c r="E17" s="7"/>
      <c r="F17" s="7"/>
      <c r="G17" s="7"/>
      <c r="H17" s="7"/>
      <c r="J17" s="65" t="s">
        <v>180</v>
      </c>
      <c r="K17" s="62"/>
      <c r="M17" s="74">
        <v>35</v>
      </c>
      <c r="N17" s="75">
        <v>30</v>
      </c>
      <c r="O17" s="76">
        <v>0.15</v>
      </c>
      <c r="P17" s="65">
        <v>561</v>
      </c>
      <c r="Q17" s="77" t="s">
        <v>166</v>
      </c>
      <c r="R17" s="65">
        <v>16</v>
      </c>
      <c r="S17" s="65">
        <v>1.5</v>
      </c>
      <c r="T17" s="65">
        <f t="shared" si="0"/>
        <v>13</v>
      </c>
      <c r="U17" s="90">
        <f>CHOOSE($K$1,230,240,230,230,230,260)</f>
        <v>230</v>
      </c>
      <c r="V17" s="65">
        <f t="shared" si="1"/>
        <v>15</v>
      </c>
      <c r="W17" s="69">
        <v>250</v>
      </c>
      <c r="X17" s="64"/>
      <c r="Y17" s="64"/>
      <c r="Z17" s="64"/>
      <c r="AA17" s="65"/>
      <c r="AB17" s="64"/>
      <c r="AC17" s="64"/>
      <c r="AD17" s="66"/>
    </row>
    <row r="18" spans="1:30" ht="27" customHeight="1" x14ac:dyDescent="0.2">
      <c r="A18" s="28"/>
      <c r="B18" s="4"/>
      <c r="C18" s="4"/>
      <c r="D18" s="41"/>
      <c r="E18" s="7"/>
      <c r="F18" s="7"/>
      <c r="G18" s="7"/>
      <c r="H18" s="7"/>
      <c r="J18" s="65" t="s">
        <v>160</v>
      </c>
      <c r="K18" s="62"/>
      <c r="M18" s="74">
        <v>14</v>
      </c>
      <c r="N18" s="75">
        <v>12</v>
      </c>
      <c r="O18" s="76">
        <v>0.25</v>
      </c>
      <c r="P18" s="65">
        <f>(N18)^2*PI()/4</f>
        <v>113.09733552923255</v>
      </c>
      <c r="Q18" s="77" t="s">
        <v>165</v>
      </c>
      <c r="R18" s="65">
        <v>10</v>
      </c>
      <c r="S18" s="65">
        <v>0.8</v>
      </c>
      <c r="T18" s="65">
        <f>IF(OR(R18="",R18="-"),"",R18-2*S18)</f>
        <v>8.4</v>
      </c>
      <c r="U18" s="90">
        <f>CHOOSE($K$1,120,115,0,120,120,220)</f>
        <v>120</v>
      </c>
      <c r="V18" s="65">
        <f>CHOOSE($K$1,5,40,20,5,5,40)</f>
        <v>5</v>
      </c>
      <c r="W18" s="65">
        <v>200</v>
      </c>
      <c r="X18" s="64"/>
      <c r="Y18" s="64"/>
      <c r="Z18" s="64"/>
      <c r="AA18" s="69"/>
      <c r="AB18" s="64"/>
      <c r="AC18" s="64"/>
      <c r="AD18" s="64"/>
    </row>
    <row r="19" spans="1:30" ht="24.75" customHeight="1" x14ac:dyDescent="0.2">
      <c r="A19" s="100" t="str">
        <f>IF(C13&lt;=U11,"",'Sprache - language'!A44)</f>
        <v>Volume of extension pipe:</v>
      </c>
      <c r="B19" s="101"/>
      <c r="C19" s="4">
        <f>IF(A19="","",(N30^2*PI()/4*(N31)/10))</f>
        <v>10.806450409818172</v>
      </c>
      <c r="D19" s="41" t="str">
        <f>IF(A19="","","cm³")</f>
        <v>cm³</v>
      </c>
      <c r="E19" s="42"/>
      <c r="F19" s="7"/>
      <c r="G19" s="7"/>
      <c r="H19" s="7"/>
      <c r="J19" s="65" t="s">
        <v>161</v>
      </c>
      <c r="K19" s="62"/>
      <c r="M19" s="74">
        <v>16</v>
      </c>
      <c r="N19" s="75">
        <v>14</v>
      </c>
      <c r="O19" s="76">
        <v>0.25</v>
      </c>
      <c r="P19" s="65">
        <f>(N19)^2*PI()/4</f>
        <v>153.93804002589985</v>
      </c>
      <c r="Q19" s="77" t="s">
        <v>165</v>
      </c>
      <c r="R19" s="65">
        <v>10</v>
      </c>
      <c r="S19" s="65">
        <v>0.8</v>
      </c>
      <c r="T19" s="65">
        <f>IF(OR(R19="",R19="-"),"",R19-2*S19)</f>
        <v>8.4</v>
      </c>
      <c r="U19" s="90">
        <f>CHOOSE($K$1,130,115,0,130,130,220)</f>
        <v>130</v>
      </c>
      <c r="V19" s="65">
        <f>CHOOSE($K$1,5,40,20,5,5,40)</f>
        <v>5</v>
      </c>
      <c r="W19" s="65">
        <v>200</v>
      </c>
      <c r="X19" s="64"/>
      <c r="Y19" s="64"/>
      <c r="Z19" s="64"/>
      <c r="AA19" s="79"/>
      <c r="AB19" s="64"/>
      <c r="AC19" s="64"/>
      <c r="AD19" s="64"/>
    </row>
    <row r="20" spans="1:30" ht="24.75" customHeight="1" x14ac:dyDescent="0.2">
      <c r="A20" s="100" t="str">
        <f>'Sprache - language'!A39</f>
        <v>Volume of sleeve:</v>
      </c>
      <c r="B20" s="101"/>
      <c r="C20" s="4">
        <f>(N26/100)*C13/10</f>
        <v>16.86</v>
      </c>
      <c r="D20" s="41" t="s">
        <v>2</v>
      </c>
      <c r="E20" s="7"/>
      <c r="F20" s="7"/>
      <c r="G20" s="7"/>
      <c r="H20" s="7"/>
      <c r="J20" s="65" t="s">
        <v>162</v>
      </c>
      <c r="K20" s="62"/>
      <c r="M20" s="74">
        <v>18</v>
      </c>
      <c r="N20" s="75">
        <v>16</v>
      </c>
      <c r="O20" s="76">
        <v>0.25</v>
      </c>
      <c r="P20" s="65">
        <f>(N20)^2*PI()/4</f>
        <v>201.06192982974676</v>
      </c>
      <c r="Q20" s="77" t="s">
        <v>166</v>
      </c>
      <c r="R20" s="65">
        <v>16</v>
      </c>
      <c r="S20" s="65">
        <v>1.5</v>
      </c>
      <c r="T20" s="65">
        <f>IF(OR(R20="",R20="-"),"",R20-2*S20)</f>
        <v>13</v>
      </c>
      <c r="U20" s="90">
        <f>CHOOSE($K$1,190,115,190,190,190,220)</f>
        <v>190</v>
      </c>
      <c r="V20" s="65">
        <f>IF(OR($K$1=2,$K$1=6),95,15)</f>
        <v>15</v>
      </c>
      <c r="W20" s="63">
        <v>250</v>
      </c>
      <c r="X20" s="80"/>
      <c r="Y20" s="80"/>
      <c r="Z20" s="64"/>
      <c r="AA20" s="65"/>
      <c r="AB20" s="80"/>
      <c r="AC20" s="64"/>
      <c r="AD20" s="64"/>
    </row>
    <row r="21" spans="1:30" ht="18" customHeight="1" x14ac:dyDescent="0.2">
      <c r="A21" s="28"/>
      <c r="B21" s="4"/>
      <c r="C21" s="4"/>
      <c r="D21" s="41"/>
      <c r="E21" s="7"/>
      <c r="F21" s="7"/>
      <c r="G21" s="7"/>
      <c r="H21" s="7"/>
      <c r="J21" s="65" t="s">
        <v>163</v>
      </c>
      <c r="K21" s="62"/>
      <c r="M21" s="74">
        <v>25</v>
      </c>
      <c r="N21" s="75">
        <v>22</v>
      </c>
      <c r="O21" s="76">
        <v>0.25</v>
      </c>
      <c r="P21" s="65">
        <f>(N21)^2*PI()/4</f>
        <v>380.13271108436498</v>
      </c>
      <c r="Q21" s="77" t="s">
        <v>166</v>
      </c>
      <c r="R21" s="65">
        <v>16</v>
      </c>
      <c r="S21" s="65">
        <v>1.5</v>
      </c>
      <c r="T21" s="65">
        <f>IF(OR(R21="",R21="-"),"",R21-2*S21)</f>
        <v>13</v>
      </c>
      <c r="U21" s="90">
        <f>CHOOSE($K$1,230,240,230,230,230,260)</f>
        <v>230</v>
      </c>
      <c r="V21" s="65">
        <f>IF(OR($K$1=2,$K$1=6),95,15)</f>
        <v>15</v>
      </c>
      <c r="W21" s="63">
        <v>250</v>
      </c>
    </row>
    <row r="22" spans="1:30" ht="18" customHeight="1" x14ac:dyDescent="0.2">
      <c r="A22" s="104" t="str">
        <f>'Sprache - language'!A$20</f>
        <v>Adhesive volume:</v>
      </c>
      <c r="B22" s="105"/>
      <c r="C22" s="43">
        <f>C17-C20</f>
        <v>15.712032632418975</v>
      </c>
      <c r="D22" s="44" t="s">
        <v>0</v>
      </c>
      <c r="E22" s="7"/>
      <c r="F22" s="7"/>
      <c r="G22" s="7"/>
      <c r="H22" s="7"/>
      <c r="V22" s="67"/>
      <c r="W22" s="65"/>
      <c r="X22" s="64"/>
      <c r="Y22" s="64"/>
    </row>
    <row r="23" spans="1:30" ht="18" customHeight="1" x14ac:dyDescent="0.2">
      <c r="A23" s="7"/>
      <c r="B23" s="7"/>
      <c r="C23" s="7"/>
      <c r="D23" s="7"/>
      <c r="E23" s="45"/>
      <c r="F23" s="7"/>
      <c r="G23" s="45" t="s">
        <v>3</v>
      </c>
      <c r="H23" s="7"/>
      <c r="V23" s="67"/>
      <c r="W23" s="65"/>
      <c r="X23" s="64"/>
      <c r="Y23" s="64"/>
    </row>
    <row r="24" spans="1:30" ht="18" customHeight="1" x14ac:dyDescent="0.2">
      <c r="A24" s="7" t="str">
        <f>'Sprache - language'!A$21</f>
        <v>Adhesive requirement including excess adhesive</v>
      </c>
      <c r="B24" s="7"/>
      <c r="C24" s="7"/>
      <c r="D24" s="7"/>
      <c r="E24" s="7"/>
      <c r="F24" s="7"/>
      <c r="G24" s="7"/>
      <c r="H24" s="7"/>
      <c r="J24" s="83"/>
      <c r="K24" s="83"/>
      <c r="L24" s="83"/>
      <c r="M24" s="83"/>
      <c r="N24" s="83"/>
      <c r="O24" s="83"/>
      <c r="P24" s="83"/>
      <c r="V24" s="67"/>
      <c r="W24" s="82"/>
      <c r="X24" s="64"/>
      <c r="Y24" s="64"/>
    </row>
    <row r="25" spans="1:30" ht="18" customHeight="1" x14ac:dyDescent="0.2">
      <c r="A25" s="7" t="str">
        <f>'Sprache - language'!A$22</f>
        <v>Requirement:</v>
      </c>
      <c r="B25" s="7"/>
      <c r="C25" s="7">
        <f>SUM(C22*(1+N27))</f>
        <v>19.64004079052372</v>
      </c>
      <c r="D25" s="7" t="s">
        <v>0</v>
      </c>
      <c r="E25" s="7"/>
      <c r="F25" s="46"/>
      <c r="G25" s="7"/>
      <c r="H25" s="7"/>
      <c r="I25" s="83"/>
      <c r="M25" s="29" t="s">
        <v>147</v>
      </c>
      <c r="N25" s="3">
        <f>SUM(C12/10)+0.04</f>
        <v>1.44</v>
      </c>
      <c r="O25" s="3" t="s">
        <v>1</v>
      </c>
      <c r="P25" s="83"/>
      <c r="Q25" s="83"/>
      <c r="R25" s="83"/>
      <c r="S25" s="83"/>
      <c r="T25" s="83"/>
      <c r="U25" s="83"/>
      <c r="V25" s="64"/>
      <c r="W25" s="84"/>
      <c r="X25" s="64"/>
      <c r="Y25" s="64"/>
    </row>
    <row r="26" spans="1:30" ht="18" customHeight="1" x14ac:dyDescent="0.2">
      <c r="A26" s="7"/>
      <c r="B26" s="7"/>
      <c r="C26" s="7"/>
      <c r="D26" s="7"/>
      <c r="E26" s="7"/>
      <c r="F26" s="4"/>
      <c r="G26" s="7"/>
      <c r="H26" s="7"/>
      <c r="I26" s="83"/>
      <c r="K26" s="64"/>
      <c r="M26" s="79" t="s">
        <v>80</v>
      </c>
      <c r="N26" s="88">
        <f>P11</f>
        <v>84.3</v>
      </c>
      <c r="O26" s="3" t="s">
        <v>4</v>
      </c>
      <c r="P26" s="85"/>
      <c r="Q26" s="83"/>
      <c r="R26" s="83"/>
      <c r="S26" s="83"/>
      <c r="T26" s="83"/>
      <c r="U26" s="83"/>
      <c r="V26" s="64"/>
      <c r="W26" s="84"/>
      <c r="X26" s="64"/>
      <c r="Y26" s="64"/>
    </row>
    <row r="27" spans="1:30" ht="18" customHeight="1" x14ac:dyDescent="0.2">
      <c r="E27" s="7"/>
      <c r="F27" s="7"/>
      <c r="G27" s="7"/>
      <c r="H27" s="47"/>
      <c r="I27" s="85"/>
      <c r="M27" s="63" t="s">
        <v>36</v>
      </c>
      <c r="N27" s="80">
        <f>O11</f>
        <v>0.25</v>
      </c>
      <c r="O27" s="3" t="s">
        <v>9</v>
      </c>
      <c r="Q27" s="85"/>
      <c r="R27" s="85"/>
      <c r="S27" s="85"/>
      <c r="T27" s="85"/>
      <c r="U27" s="85"/>
      <c r="V27" s="64"/>
      <c r="W27" s="84"/>
      <c r="X27" s="64"/>
      <c r="Y27" s="64"/>
    </row>
    <row r="28" spans="1:30" ht="27.75" customHeight="1" x14ac:dyDescent="0.2">
      <c r="A28" s="99" t="str">
        <f>'Sprache - language'!A$25</f>
        <v>Total adhesive requirement:</v>
      </c>
      <c r="B28" s="99"/>
      <c r="C28" s="7">
        <f>C14*C25</f>
        <v>1964.0040790523719</v>
      </c>
      <c r="D28" s="7" t="s">
        <v>0</v>
      </c>
      <c r="E28" s="48" t="str">
        <f>CONCATENATE('Sprache - language'!A$28," ",ROUND((C28/1000),2)," l")</f>
        <v>equal to: 1,96 l</v>
      </c>
      <c r="F28" s="7"/>
      <c r="G28" s="7"/>
      <c r="H28" s="7"/>
      <c r="M28" s="29" t="s">
        <v>148</v>
      </c>
      <c r="N28" s="3">
        <f>IF(OR(K1=3,K1=6),C10-50,C10-40)</f>
        <v>545</v>
      </c>
      <c r="V28" s="67"/>
      <c r="W28" s="65"/>
      <c r="X28" s="64"/>
      <c r="Y28" s="64"/>
    </row>
    <row r="29" spans="1:30" ht="27" customHeight="1" x14ac:dyDescent="0.2">
      <c r="A29" s="49"/>
      <c r="B29" s="49"/>
      <c r="C29" s="50"/>
      <c r="D29" s="7"/>
      <c r="E29" s="7"/>
      <c r="F29" s="7"/>
      <c r="G29" s="7"/>
      <c r="H29" s="7"/>
      <c r="V29" s="67"/>
      <c r="W29" s="84"/>
      <c r="X29" s="64"/>
      <c r="Y29" s="64"/>
    </row>
    <row r="30" spans="1:30" ht="30" customHeight="1" x14ac:dyDescent="0.2">
      <c r="A30" s="99" t="str">
        <f>'Sprache - language'!A$26</f>
        <v>Number of anchors per cartridge:</v>
      </c>
      <c r="B30" s="99"/>
      <c r="C30" s="7">
        <f>SUM((N28)/(C25))</f>
        <v>27.749433201939244</v>
      </c>
      <c r="D30" s="7" t="str">
        <f>IF(C30&lt;=1,'Sprache - language'!A$29,'Sprache - language'!A$30)</f>
        <v>pieces</v>
      </c>
      <c r="E30" s="7"/>
      <c r="F30" s="7"/>
      <c r="G30" s="7"/>
      <c r="H30" s="7"/>
      <c r="M30" s="29" t="s">
        <v>164</v>
      </c>
      <c r="N30" s="3">
        <f>T11/10</f>
        <v>0.84000000000000008</v>
      </c>
      <c r="O30" s="3" t="s">
        <v>1</v>
      </c>
      <c r="V30" s="67"/>
      <c r="W30" s="84"/>
      <c r="X30" s="64"/>
      <c r="Y30" s="64"/>
    </row>
    <row r="31" spans="1:30" ht="27" customHeight="1" x14ac:dyDescent="0.2">
      <c r="A31" s="49"/>
      <c r="B31" s="49"/>
      <c r="C31" s="7"/>
      <c r="D31" s="7"/>
      <c r="E31" s="7"/>
      <c r="F31" s="7"/>
      <c r="G31" s="7"/>
      <c r="H31" s="7"/>
      <c r="M31" s="29" t="s">
        <v>192</v>
      </c>
      <c r="N31" s="3">
        <f>IF(C13-U11+V11&lt;=W11,W11-V11,C13-U11)</f>
        <v>195</v>
      </c>
      <c r="O31" s="3" t="s">
        <v>4</v>
      </c>
      <c r="P31" s="3" t="s">
        <v>191</v>
      </c>
      <c r="V31" s="67"/>
      <c r="W31" s="84"/>
      <c r="X31" s="64"/>
      <c r="Y31" s="64"/>
    </row>
    <row r="32" spans="1:30" ht="27.75" customHeight="1" x14ac:dyDescent="0.2">
      <c r="A32" s="99" t="str">
        <f>'Sprache - language'!A$27</f>
        <v>Number of cartridges required:</v>
      </c>
      <c r="B32" s="99"/>
      <c r="C32" s="51" t="str">
        <f ca="1">IF(COUNTIF(E9:E14,"")&lt;6,"",CONCATENATE(ROUNDUP(N33,0),IF(N33&lt;=1," "&amp;'Sprache - language'!A$31," "&amp;'Sprache - language'!A$32)," MKT ",C9," ",C10," ",P33))</f>
        <v/>
      </c>
      <c r="D32" s="7"/>
      <c r="E32" s="7"/>
      <c r="F32" s="7"/>
      <c r="G32" s="7"/>
      <c r="H32" s="7"/>
      <c r="V32" s="67"/>
      <c r="W32" s="84"/>
      <c r="X32" s="64"/>
      <c r="Y32" s="64"/>
    </row>
    <row r="33" spans="1:25" ht="22.5" customHeight="1" x14ac:dyDescent="0.2">
      <c r="A33" s="7"/>
      <c r="B33" s="7"/>
      <c r="C33" s="47" t="str">
        <f ca="1">IF(C19="","",IF(COUNTIF(E9:E14,"")&lt;6,"",CONCATENATE("+"&amp;" "&amp;ROUNDUP(N34,2),IF(N34&lt;=1," "&amp;'Sprache - language'!A31," "&amp;'Sprache - language'!A32)," MKT ",C9," ",C10," ",P34)))</f>
        <v/>
      </c>
      <c r="D33" s="7"/>
      <c r="E33" s="7"/>
      <c r="F33" s="7"/>
      <c r="G33" s="7"/>
      <c r="H33" s="7"/>
      <c r="M33" s="29" t="str">
        <f>'Sprache - language'!A$27</f>
        <v>Number of cartridges required:</v>
      </c>
      <c r="N33" s="3">
        <f>SUM(C25*C14/(N28))</f>
        <v>3.603677209270407</v>
      </c>
      <c r="P33" s="3" t="str">
        <f>IF(C19="","",'Sprache - language'!A47)</f>
        <v>for the number of drill holes</v>
      </c>
      <c r="V33" s="64"/>
      <c r="W33" s="65"/>
      <c r="X33" s="64"/>
      <c r="Y33" s="64"/>
    </row>
    <row r="34" spans="1:25" ht="18" customHeight="1" x14ac:dyDescent="0.2">
      <c r="A34" s="7"/>
      <c r="B34" s="47"/>
      <c r="D34" s="7"/>
      <c r="E34" s="7"/>
      <c r="F34" s="52"/>
      <c r="G34" s="52"/>
      <c r="H34" s="7"/>
      <c r="N34" s="3">
        <f>IF(C19="","",C19/N28)</f>
        <v>1.982834937581316E-2</v>
      </c>
      <c r="P34" s="3" t="str">
        <f>IF(C19="","",'Sprache - language'!A48)</f>
        <v>per change of the extension pipe</v>
      </c>
      <c r="V34" s="64"/>
      <c r="W34" s="82"/>
      <c r="X34" s="64"/>
      <c r="Y34" s="64"/>
    </row>
    <row r="35" spans="1:25" ht="18" customHeight="1" x14ac:dyDescent="0.2">
      <c r="D35" s="7"/>
      <c r="E35" s="7"/>
      <c r="F35" s="7"/>
      <c r="G35" s="7"/>
      <c r="H35" s="7"/>
      <c r="M35" s="48" t="str">
        <f>'Sprache - language'!A$54</f>
        <v>recommended accessories:</v>
      </c>
      <c r="N35" s="59" t="str">
        <f>CONCATENATE(IF(M11&lt;18,CONCATENATE('Sprache - language'!A55,CHOOSE($K$1," VM-X"," VM-XH"," VM-XL"," VM-X"," VM-X"," VM-XHP")),CONCATENATE('Sprache - language'!A55,CHOOSE($K$1," VM-XL"," VM-XH"," VM-XL"," VM-XL"," VM-XL"," VM-XHP"))),IF(C19="","",CONCATENATE("; ",'Sprache - language'!A56," ",Q11)))</f>
        <v>static mixer VM-X; extension tubes VM-XE 10</v>
      </c>
      <c r="V35" s="64"/>
      <c r="W35" s="67"/>
      <c r="X35" s="86"/>
      <c r="Y35" s="86"/>
    </row>
    <row r="36" spans="1:25" ht="18" customHeight="1" x14ac:dyDescent="0.2">
      <c r="D36" s="7"/>
      <c r="E36" s="7"/>
      <c r="F36" s="7"/>
      <c r="G36" s="7"/>
      <c r="H36" s="7"/>
      <c r="L36" s="7"/>
      <c r="M36" s="7"/>
      <c r="N36" s="7" t="str">
        <f>IF(C19="","",'Sprache - language'!A57)</f>
        <v>for recommended drill hole diameter</v>
      </c>
      <c r="V36" s="64"/>
      <c r="W36" s="67"/>
    </row>
    <row r="37" spans="1:25" ht="18" customHeight="1" x14ac:dyDescent="0.2">
      <c r="A37" s="7"/>
      <c r="B37" s="7"/>
      <c r="C37" s="7"/>
      <c r="D37" s="7"/>
      <c r="E37" s="7"/>
      <c r="F37" s="7"/>
      <c r="G37" s="7"/>
      <c r="H37" s="7"/>
      <c r="V37" s="64"/>
      <c r="W37" s="67"/>
    </row>
    <row r="38" spans="1:25" ht="12.75" x14ac:dyDescent="0.2">
      <c r="E38" s="87"/>
      <c r="V38" s="64"/>
      <c r="W38" s="67"/>
    </row>
    <row r="39" spans="1:25" ht="12.75" customHeight="1" x14ac:dyDescent="0.2">
      <c r="V39" s="64"/>
      <c r="W39" s="67"/>
    </row>
    <row r="40" spans="1:25" ht="18" customHeight="1" x14ac:dyDescent="0.2">
      <c r="V40" s="64"/>
      <c r="W40" s="67"/>
    </row>
    <row r="41" spans="1:25" ht="18" customHeight="1" x14ac:dyDescent="0.2">
      <c r="V41" s="64"/>
      <c r="W41" s="67"/>
    </row>
    <row r="42" spans="1:25" ht="18" customHeight="1" x14ac:dyDescent="0.2">
      <c r="V42" s="64"/>
      <c r="W42" s="67"/>
    </row>
    <row r="43" spans="1:25" ht="18" customHeight="1" x14ac:dyDescent="0.2">
      <c r="V43" s="64"/>
      <c r="W43" s="65"/>
    </row>
    <row r="45" spans="1:25" ht="29.25" customHeight="1" x14ac:dyDescent="0.2"/>
    <row r="68" ht="27.75" customHeight="1" x14ac:dyDescent="0.2"/>
  </sheetData>
  <sheetProtection password="D881" sheet="1" objects="1" scenarios="1" selectLockedCells="1"/>
  <mergeCells count="18">
    <mergeCell ref="Q9:Q10"/>
    <mergeCell ref="R9:T9"/>
    <mergeCell ref="U9:U10"/>
    <mergeCell ref="V9:V10"/>
    <mergeCell ref="W9:W10"/>
    <mergeCell ref="G5:H5"/>
    <mergeCell ref="B6:D6"/>
    <mergeCell ref="F6:H6"/>
    <mergeCell ref="B7:D7"/>
    <mergeCell ref="F7:H7"/>
    <mergeCell ref="A22:B22"/>
    <mergeCell ref="A28:B28"/>
    <mergeCell ref="A30:B30"/>
    <mergeCell ref="A32:B32"/>
    <mergeCell ref="B4:E4"/>
    <mergeCell ref="B5:E5"/>
    <mergeCell ref="A20:B20"/>
    <mergeCell ref="A19:B19"/>
  </mergeCells>
  <conditionalFormatting sqref="C10">
    <cfRule type="expression" dxfId="55" priority="3" stopIfTrue="1">
      <formula>COUNTIF(INDIRECT(L1),C10)=0</formula>
    </cfRule>
  </conditionalFormatting>
  <conditionalFormatting sqref="C14">
    <cfRule type="expression" dxfId="54" priority="2" stopIfTrue="1">
      <formula>$C$14&lt;=0</formula>
    </cfRule>
  </conditionalFormatting>
  <conditionalFormatting sqref="C13">
    <cfRule type="expression" dxfId="53" priority="1" stopIfTrue="1">
      <formula>$C$13&lt;=0</formula>
    </cfRule>
  </conditionalFormatting>
  <conditionalFormatting sqref="C12">
    <cfRule type="expression" dxfId="52" priority="8" stopIfTrue="1">
      <formula>$C$12&lt;=$N$11</formula>
    </cfRule>
  </conditionalFormatting>
  <dataValidations count="3">
    <dataValidation type="list" allowBlank="1" showInputMessage="1" showErrorMessage="1" sqref="C10">
      <formula1>INDIRECT($L$1)</formula1>
    </dataValidation>
    <dataValidation type="list" allowBlank="1" showInputMessage="1" showErrorMessage="1" sqref="C9">
      <formula1>$J$2:$J$7</formula1>
    </dataValidation>
    <dataValidation type="list" allowBlank="1" showInputMessage="1" showErrorMessage="1" sqref="C11">
      <formula1>$J$12:$J$21</formula1>
    </dataValidation>
  </dataValidations>
  <pageMargins left="0.75" right="0.6" top="0.6" bottom="1.19" header="0.4921259845" footer="0.4921259845"/>
  <pageSetup paperSize="9" orientation="portrait" r:id="rId1"/>
  <headerFooter alignWithMargins="0">
    <oddFooter>&amp;LMKT-Metall-Kunststoff-Technik GmbH &amp;&amp; Co. KG
Auf dem Immel 2
67685 Weilerbach&amp;RPhone: +49 (0) 6374 91 16 -0
Email: info@mkt.de
Internet: www.mkt.de</oddFooter>
  </headerFooter>
  <drawing r:id="rId2"/>
  <legacyDrawing r:id="rId3"/>
  <tableParts count="6"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D68"/>
  <sheetViews>
    <sheetView view="pageBreakPreview" topLeftCell="B1" zoomScale="90" zoomScaleNormal="100" zoomScaleSheetLayoutView="90" zoomScalePageLayoutView="98" workbookViewId="0">
      <selection activeCell="B4" sqref="B4:E4"/>
    </sheetView>
  </sheetViews>
  <sheetFormatPr baseColWidth="10" defaultRowHeight="18" customHeight="1" x14ac:dyDescent="0.2"/>
  <cols>
    <col min="1" max="1" width="10.7109375" style="3" customWidth="1"/>
    <col min="2" max="2" width="12.7109375" style="3" customWidth="1"/>
    <col min="3" max="3" width="10.7109375" style="3" customWidth="1"/>
    <col min="4" max="4" width="8.7109375" style="3" customWidth="1"/>
    <col min="5" max="5" width="16.7109375" style="3" customWidth="1"/>
    <col min="6" max="7" width="10.7109375" style="3" customWidth="1"/>
    <col min="8" max="8" width="8.7109375" style="3" customWidth="1"/>
    <col min="9" max="9" width="6.28515625" style="3" customWidth="1"/>
    <col min="10" max="10" width="19.28515625" style="3" hidden="1" customWidth="1"/>
    <col min="11" max="13" width="6.28515625" style="3" hidden="1" customWidth="1"/>
    <col min="14" max="16" width="9.85546875" style="3" hidden="1" customWidth="1"/>
    <col min="17" max="17" width="13" style="3" hidden="1" customWidth="1"/>
    <col min="18" max="18" width="9.85546875" style="3" hidden="1" customWidth="1"/>
    <col min="19" max="19" width="12.42578125" style="3" hidden="1" customWidth="1"/>
    <col min="20" max="20" width="12" style="3" hidden="1" customWidth="1"/>
    <col min="21" max="22" width="13.140625" style="3" hidden="1" customWidth="1"/>
    <col min="23" max="23" width="18.85546875" style="63" hidden="1" customWidth="1"/>
    <col min="24" max="25" width="11.5703125" style="3" hidden="1" customWidth="1"/>
    <col min="26" max="26" width="11.42578125" style="3"/>
    <col min="27" max="27" width="14.85546875" style="3" customWidth="1"/>
    <col min="28" max="16384" width="11.42578125" style="3"/>
  </cols>
  <sheetData>
    <row r="1" spans="1:30" ht="18" customHeight="1" x14ac:dyDescent="0.25">
      <c r="A1" s="32" t="str">
        <f>'Sprache - language'!A6</f>
        <v>Determination of Quantity of Injection Adhesive Requirement</v>
      </c>
      <c r="B1" s="7"/>
      <c r="C1" s="7"/>
      <c r="D1" s="7"/>
      <c r="E1" s="7"/>
      <c r="F1" s="7"/>
      <c r="G1" s="7"/>
      <c r="H1" s="7"/>
      <c r="J1" s="3" t="s">
        <v>146</v>
      </c>
      <c r="K1" s="62">
        <f>VLOOKUP(C9,J2:K7,2,0)</f>
        <v>1</v>
      </c>
      <c r="L1" s="3" t="str">
        <f>VLOOKUP(C9,J2:L7,3,0)</f>
        <v>TabRE1</v>
      </c>
      <c r="N1" s="3" t="s">
        <v>134</v>
      </c>
      <c r="O1" s="3" t="s">
        <v>135</v>
      </c>
      <c r="P1" s="3" t="s">
        <v>137</v>
      </c>
      <c r="Q1" s="3" t="s">
        <v>136</v>
      </c>
      <c r="R1" s="3" t="s">
        <v>145</v>
      </c>
      <c r="S1" s="3" t="s">
        <v>214</v>
      </c>
      <c r="W1" s="3"/>
    </row>
    <row r="2" spans="1:30" ht="18" customHeight="1" x14ac:dyDescent="0.2">
      <c r="A2" s="33" t="str">
        <f>'Sprache - language'!A8</f>
        <v>for anchorings into concrete and solid base materials</v>
      </c>
      <c r="B2" s="7"/>
      <c r="C2" s="4"/>
      <c r="D2" s="4"/>
      <c r="E2" s="4"/>
      <c r="F2" s="4"/>
      <c r="G2" s="7"/>
      <c r="H2" s="7"/>
      <c r="J2" s="3" t="s">
        <v>134</v>
      </c>
      <c r="K2" s="62">
        <v>1</v>
      </c>
      <c r="L2" s="3" t="s">
        <v>201</v>
      </c>
      <c r="N2" s="62">
        <v>150</v>
      </c>
      <c r="O2" s="62">
        <v>280</v>
      </c>
      <c r="P2" s="62">
        <v>385</v>
      </c>
      <c r="Q2" s="62">
        <v>300</v>
      </c>
      <c r="R2" s="62">
        <v>300</v>
      </c>
      <c r="S2" s="62">
        <v>440</v>
      </c>
      <c r="W2" s="65"/>
      <c r="X2" s="65"/>
      <c r="Y2" s="64"/>
      <c r="Z2" s="64"/>
      <c r="AA2" s="64"/>
      <c r="AB2" s="64"/>
      <c r="AC2" s="64"/>
      <c r="AD2" s="64"/>
    </row>
    <row r="3" spans="1:30" ht="18" customHeight="1" x14ac:dyDescent="0.2">
      <c r="A3" s="7"/>
      <c r="B3" s="7"/>
      <c r="C3" s="7"/>
      <c r="D3" s="7"/>
      <c r="E3" s="7"/>
      <c r="F3" s="7"/>
      <c r="G3" s="4"/>
      <c r="H3" s="4"/>
      <c r="J3" s="3" t="s">
        <v>135</v>
      </c>
      <c r="K3" s="62">
        <v>2</v>
      </c>
      <c r="L3" s="3" t="s">
        <v>202</v>
      </c>
      <c r="N3" s="62">
        <v>280</v>
      </c>
      <c r="O3" s="62">
        <v>345</v>
      </c>
      <c r="P3" s="62">
        <v>585</v>
      </c>
      <c r="Q3" s="62">
        <v>345</v>
      </c>
      <c r="R3" s="62">
        <v>410</v>
      </c>
      <c r="S3" s="62">
        <v>585</v>
      </c>
      <c r="W3" s="64"/>
      <c r="Y3" s="64"/>
      <c r="Z3" s="64"/>
      <c r="AA3" s="64"/>
      <c r="AB3" s="64"/>
      <c r="AC3" s="64"/>
      <c r="AD3" s="64"/>
    </row>
    <row r="4" spans="1:30" ht="18" customHeight="1" x14ac:dyDescent="0.2">
      <c r="A4" s="34" t="str">
        <f>'Sprache - language'!A10</f>
        <v>Company:</v>
      </c>
      <c r="B4" s="95"/>
      <c r="C4" s="96"/>
      <c r="D4" s="96"/>
      <c r="E4" s="97"/>
      <c r="F4" s="4"/>
      <c r="G4" s="4"/>
      <c r="H4" s="4"/>
      <c r="J4" s="3" t="s">
        <v>137</v>
      </c>
      <c r="K4" s="62">
        <v>3</v>
      </c>
      <c r="L4" s="3" t="s">
        <v>203</v>
      </c>
      <c r="N4" s="62">
        <v>300</v>
      </c>
      <c r="O4" s="62">
        <v>420</v>
      </c>
      <c r="P4" s="62">
        <v>1400</v>
      </c>
      <c r="Q4" s="62">
        <v>420</v>
      </c>
      <c r="W4" s="65"/>
      <c r="X4" s="64"/>
      <c r="Y4" s="64"/>
      <c r="Z4" s="64"/>
      <c r="AA4" s="65"/>
      <c r="AB4" s="64"/>
      <c r="AC4" s="64"/>
      <c r="AD4" s="64"/>
    </row>
    <row r="5" spans="1:30" ht="18" customHeight="1" x14ac:dyDescent="0.2">
      <c r="A5" s="34" t="str">
        <f>'Sprache - language'!A11</f>
        <v>Name:</v>
      </c>
      <c r="B5" s="95"/>
      <c r="C5" s="96"/>
      <c r="D5" s="96"/>
      <c r="E5" s="97"/>
      <c r="F5" s="35" t="str">
        <f>'Sprache - language'!A16</f>
        <v>Date:</v>
      </c>
      <c r="G5" s="106">
        <f ca="1">TODAY()</f>
        <v>44298</v>
      </c>
      <c r="H5" s="107"/>
      <c r="J5" s="3" t="s">
        <v>136</v>
      </c>
      <c r="K5" s="62">
        <v>4</v>
      </c>
      <c r="L5" s="3" t="s">
        <v>204</v>
      </c>
      <c r="N5" s="62">
        <v>345</v>
      </c>
      <c r="W5" s="65"/>
      <c r="X5" s="64"/>
      <c r="Y5" s="64"/>
      <c r="Z5" s="64"/>
      <c r="AA5" s="65"/>
      <c r="AB5" s="64"/>
      <c r="AC5" s="64"/>
      <c r="AD5" s="64"/>
    </row>
    <row r="6" spans="1:30" ht="18" customHeight="1" x14ac:dyDescent="0.2">
      <c r="A6" s="34" t="str">
        <f>'Sprache - language'!A12</f>
        <v>Phone:</v>
      </c>
      <c r="B6" s="95"/>
      <c r="C6" s="96"/>
      <c r="D6" s="97"/>
      <c r="E6" s="35" t="str">
        <f>'Sprache - language'!A14</f>
        <v>Project:</v>
      </c>
      <c r="F6" s="102"/>
      <c r="G6" s="102"/>
      <c r="H6" s="103"/>
      <c r="J6" s="3" t="s">
        <v>145</v>
      </c>
      <c r="K6" s="62">
        <v>5</v>
      </c>
      <c r="L6" s="3" t="s">
        <v>205</v>
      </c>
      <c r="N6" s="62">
        <v>410</v>
      </c>
      <c r="W6" s="65"/>
      <c r="X6" s="64"/>
      <c r="Y6" s="64"/>
      <c r="Z6" s="64"/>
      <c r="AA6" s="65"/>
      <c r="AB6" s="64"/>
      <c r="AC6" s="64"/>
      <c r="AD6" s="66"/>
    </row>
    <row r="7" spans="1:30" ht="18" customHeight="1" x14ac:dyDescent="0.2">
      <c r="A7" s="36" t="str">
        <f>'Sprache - language'!A13</f>
        <v>Email:</v>
      </c>
      <c r="B7" s="98"/>
      <c r="C7" s="98"/>
      <c r="D7" s="98"/>
      <c r="E7" s="35" t="str">
        <f>'Sprache - language'!A15</f>
        <v>Person in Charge:</v>
      </c>
      <c r="F7" s="96"/>
      <c r="G7" s="96"/>
      <c r="H7" s="97"/>
      <c r="J7" s="3" t="s">
        <v>214</v>
      </c>
      <c r="K7" s="62">
        <v>6</v>
      </c>
      <c r="L7" s="3" t="s">
        <v>217</v>
      </c>
      <c r="N7" s="62">
        <v>420</v>
      </c>
      <c r="W7" s="65"/>
      <c r="X7" s="64"/>
      <c r="Y7" s="64"/>
      <c r="Z7" s="68"/>
      <c r="AA7" s="65"/>
      <c r="AB7" s="64"/>
      <c r="AC7" s="64"/>
      <c r="AD7" s="66"/>
    </row>
    <row r="8" spans="1:30" ht="18" customHeight="1" x14ac:dyDescent="0.2">
      <c r="A8" s="7"/>
      <c r="B8" s="7"/>
      <c r="C8" s="7"/>
      <c r="D8" s="7"/>
      <c r="E8" s="7"/>
      <c r="F8" s="7"/>
      <c r="G8" s="7"/>
      <c r="H8" s="7"/>
      <c r="N8" s="62">
        <v>825</v>
      </c>
      <c r="W8" s="65"/>
      <c r="X8" s="64"/>
      <c r="Y8" s="64"/>
      <c r="Z8" s="64"/>
      <c r="AA8" s="65"/>
      <c r="AB8" s="64"/>
      <c r="AC8" s="64"/>
      <c r="AD8" s="66"/>
    </row>
    <row r="9" spans="1:30" ht="18" customHeight="1" x14ac:dyDescent="0.2">
      <c r="A9" s="26" t="str">
        <f>'Sprache - language'!A49</f>
        <v>Mortar:</v>
      </c>
      <c r="B9" s="26"/>
      <c r="C9" s="57" t="s">
        <v>134</v>
      </c>
      <c r="D9" s="26"/>
      <c r="E9" s="7"/>
      <c r="F9" s="7"/>
      <c r="G9" s="7"/>
      <c r="H9" s="7"/>
      <c r="N9" s="62"/>
      <c r="Q9" s="93" t="s">
        <v>193</v>
      </c>
      <c r="R9" s="92" t="s">
        <v>92</v>
      </c>
      <c r="S9" s="92"/>
      <c r="T9" s="92"/>
      <c r="U9" s="94" t="s">
        <v>167</v>
      </c>
      <c r="V9" s="94" t="s">
        <v>189</v>
      </c>
      <c r="W9" s="91" t="s">
        <v>190</v>
      </c>
      <c r="X9" s="64"/>
      <c r="Y9" s="64"/>
      <c r="Z9" s="64"/>
      <c r="AA9" s="65"/>
      <c r="AB9" s="64"/>
      <c r="AC9" s="64"/>
      <c r="AD9" s="66"/>
    </row>
    <row r="10" spans="1:30" ht="21.95" customHeight="1" x14ac:dyDescent="0.2">
      <c r="A10" s="27" t="str">
        <f>'Sprache - language'!A$24</f>
        <v>Size of cartridge:</v>
      </c>
      <c r="B10" s="27"/>
      <c r="C10" s="54">
        <v>440</v>
      </c>
      <c r="D10" s="27" t="s">
        <v>0</v>
      </c>
      <c r="E10" s="56" t="str">
        <f ca="1">IF(COUNTIF(INDIRECT(L1),C10)=0,'Sprache - language'!A$50,"")</f>
        <v>Please check content of cartridge!</v>
      </c>
      <c r="F10" s="7"/>
      <c r="G10" s="7"/>
      <c r="H10" s="7"/>
      <c r="M10" s="29" t="s">
        <v>158</v>
      </c>
      <c r="N10" s="63" t="s">
        <v>157</v>
      </c>
      <c r="O10" s="63" t="s">
        <v>8</v>
      </c>
      <c r="P10" s="65" t="s">
        <v>80</v>
      </c>
      <c r="Q10" s="93"/>
      <c r="R10" s="65" t="s">
        <v>85</v>
      </c>
      <c r="S10" s="65" t="s">
        <v>89</v>
      </c>
      <c r="T10" s="65" t="s">
        <v>86</v>
      </c>
      <c r="U10" s="94"/>
      <c r="V10" s="94"/>
      <c r="W10" s="91"/>
      <c r="X10" s="64"/>
      <c r="Y10" s="64"/>
      <c r="Z10" s="64"/>
      <c r="AA10" s="65"/>
      <c r="AB10" s="64"/>
      <c r="AC10" s="64"/>
      <c r="AD10" s="66"/>
    </row>
    <row r="11" spans="1:30" ht="18" customHeight="1" x14ac:dyDescent="0.2">
      <c r="A11" s="26" t="str">
        <f>'Sprache - language'!A33</f>
        <v>Ribbed rebar:</v>
      </c>
      <c r="B11" s="26"/>
      <c r="C11" s="58">
        <v>24</v>
      </c>
      <c r="D11" s="26"/>
      <c r="E11" s="7"/>
      <c r="F11" s="7"/>
      <c r="G11" s="7"/>
      <c r="H11" s="7"/>
      <c r="J11" s="65" t="s">
        <v>170</v>
      </c>
      <c r="K11" s="62"/>
      <c r="M11" s="70">
        <f>VLOOKUP(C11,J12:M26,4,0)</f>
        <v>30</v>
      </c>
      <c r="N11" s="71">
        <f>VLOOKUP(C11,J12:N26,5,0)</f>
        <v>24</v>
      </c>
      <c r="O11" s="72">
        <f>VLOOKUP(C11,J12:O26,6,0)</f>
        <v>0.2</v>
      </c>
      <c r="P11" s="72">
        <f>VLOOKUP(C11,J12:P26,7,0)</f>
        <v>452.38934211693021</v>
      </c>
      <c r="Q11" s="72" t="str">
        <f>LOOKUP(C11,J12:J26,Q12:Q26)</f>
        <v>VM-XLE 16</v>
      </c>
      <c r="R11" s="72"/>
      <c r="S11" s="72"/>
      <c r="T11" s="72">
        <f>LOOKUP(C11,J12:J26,T12:T26)</f>
        <v>13</v>
      </c>
      <c r="U11" s="72">
        <f>LOOKUP(C11,J12:J26,U12:U26)</f>
        <v>230</v>
      </c>
      <c r="V11" s="72">
        <f>LOOKUP(C11,J12:J26,V12:V26)</f>
        <v>15</v>
      </c>
      <c r="W11" s="72">
        <f>LOOKUP(C11,J12:J26,W12:W26)</f>
        <v>250</v>
      </c>
      <c r="X11" s="64"/>
      <c r="Y11" s="64"/>
      <c r="Z11" s="64"/>
      <c r="AA11" s="65"/>
      <c r="AB11" s="64"/>
      <c r="AC11" s="64"/>
      <c r="AD11" s="66"/>
    </row>
    <row r="12" spans="1:30" ht="18" customHeight="1" x14ac:dyDescent="0.2">
      <c r="A12" s="26" t="str">
        <f>'Sprache - language'!A34</f>
        <v>Drill bit: (selected)</v>
      </c>
      <c r="B12" s="26"/>
      <c r="C12" s="58">
        <v>32</v>
      </c>
      <c r="D12" s="26"/>
      <c r="E12" s="56" t="str">
        <f>IF(C12&lt;=N11,'Sprache - language'!A$51,"")</f>
        <v/>
      </c>
      <c r="F12" s="7"/>
      <c r="G12" s="7"/>
      <c r="H12" s="7"/>
      <c r="J12" s="74">
        <v>6</v>
      </c>
      <c r="K12" s="62"/>
      <c r="M12" s="74">
        <v>10</v>
      </c>
      <c r="N12" s="75">
        <v>6</v>
      </c>
      <c r="O12" s="76">
        <v>0.2</v>
      </c>
      <c r="P12" s="65">
        <f>PI()/4*N12^2</f>
        <v>28.274333882308138</v>
      </c>
      <c r="Q12" s="77" t="s">
        <v>165</v>
      </c>
      <c r="R12" s="65">
        <v>10</v>
      </c>
      <c r="S12" s="65">
        <v>0.8</v>
      </c>
      <c r="T12" s="65">
        <f t="shared" ref="T12:T19" si="0">IF(OR(R12="",R12="-"),"",R12-2*S12)</f>
        <v>8.4</v>
      </c>
      <c r="U12" s="89">
        <f>CHOOSE($K$1,90,80,0,90,90,80)</f>
        <v>90</v>
      </c>
      <c r="V12" s="65">
        <f>CHOOSE($K$1,5,40,20,5,5,40)</f>
        <v>5</v>
      </c>
      <c r="W12" s="63">
        <v>200</v>
      </c>
      <c r="Y12" s="108" t="s">
        <v>188</v>
      </c>
      <c r="Z12" s="64"/>
      <c r="AA12" s="65"/>
      <c r="AB12" s="64"/>
      <c r="AC12" s="64"/>
      <c r="AD12" s="66"/>
    </row>
    <row r="13" spans="1:30" ht="18" customHeight="1" x14ac:dyDescent="0.2">
      <c r="A13" s="26" t="str">
        <f>'Sprache - language'!A$18</f>
        <v>Depth of drill hole:</v>
      </c>
      <c r="B13" s="26"/>
      <c r="C13" s="54">
        <v>1000</v>
      </c>
      <c r="D13" s="26" t="s">
        <v>4</v>
      </c>
      <c r="E13" s="56" t="str">
        <f>IF(C13&lt;=0,'Sprache - language'!A$52,"")</f>
        <v/>
      </c>
      <c r="F13" s="37"/>
      <c r="G13" s="7"/>
      <c r="H13" s="7"/>
      <c r="J13" s="74">
        <v>8</v>
      </c>
      <c r="K13" s="62"/>
      <c r="M13" s="74">
        <v>12</v>
      </c>
      <c r="N13" s="75">
        <v>8</v>
      </c>
      <c r="O13" s="76">
        <v>0.2</v>
      </c>
      <c r="P13" s="65">
        <f t="shared" ref="P13:P26" si="1">PI()/4*N13^2</f>
        <v>50.26548245743669</v>
      </c>
      <c r="Q13" s="77" t="s">
        <v>165</v>
      </c>
      <c r="R13" s="65">
        <v>10</v>
      </c>
      <c r="S13" s="65">
        <v>0.8</v>
      </c>
      <c r="T13" s="65">
        <f t="shared" si="0"/>
        <v>8.4</v>
      </c>
      <c r="U13" s="90">
        <f>CHOOSE($K$1,100,90,0,100,100,90)</f>
        <v>100</v>
      </c>
      <c r="V13" s="65">
        <f>CHOOSE($K$1,5,40,20,5,5,40)</f>
        <v>5</v>
      </c>
      <c r="W13" s="63">
        <v>200</v>
      </c>
      <c r="Y13" s="108"/>
      <c r="Z13" s="64"/>
      <c r="AA13" s="65"/>
      <c r="AB13" s="64"/>
      <c r="AC13" s="64"/>
      <c r="AD13" s="66"/>
    </row>
    <row r="14" spans="1:30" ht="18" customHeight="1" x14ac:dyDescent="0.2">
      <c r="A14" s="27" t="str">
        <f>'Sprache - language'!A$23</f>
        <v>Number of holes:</v>
      </c>
      <c r="B14" s="27"/>
      <c r="C14" s="54">
        <v>1</v>
      </c>
      <c r="D14" s="26" t="str">
        <f>IF(C14&lt;=1,'Sprache - language'!A$29,'Sprache - language'!A$30)</f>
        <v>piece</v>
      </c>
      <c r="E14" s="56" t="str">
        <f>IF(C14&lt;=0,'Sprache - language'!A$53,"")</f>
        <v/>
      </c>
      <c r="F14" s="37"/>
      <c r="G14" s="7"/>
      <c r="H14" s="7"/>
      <c r="J14" s="74">
        <v>10</v>
      </c>
      <c r="K14" s="62"/>
      <c r="M14" s="74">
        <v>14</v>
      </c>
      <c r="N14" s="75">
        <v>10</v>
      </c>
      <c r="O14" s="76">
        <v>0.2</v>
      </c>
      <c r="P14" s="65">
        <f t="shared" si="1"/>
        <v>78.539816339744831</v>
      </c>
      <c r="Q14" s="77" t="s">
        <v>165</v>
      </c>
      <c r="R14" s="65">
        <v>10</v>
      </c>
      <c r="S14" s="65">
        <v>0.8</v>
      </c>
      <c r="T14" s="65">
        <f t="shared" si="0"/>
        <v>8.4</v>
      </c>
      <c r="U14" s="90">
        <f>CHOOSE($K$1,120,115,0,120,120,220)</f>
        <v>120</v>
      </c>
      <c r="V14" s="65">
        <f>CHOOSE($K$1,5,40,20,5,5,40)</f>
        <v>5</v>
      </c>
      <c r="W14" s="63">
        <v>200</v>
      </c>
      <c r="Y14" s="108"/>
      <c r="Z14" s="64"/>
      <c r="AA14" s="65"/>
      <c r="AB14" s="64"/>
      <c r="AC14" s="64"/>
      <c r="AD14" s="66"/>
    </row>
    <row r="15" spans="1:30" ht="18" customHeight="1" x14ac:dyDescent="0.2">
      <c r="A15" s="7"/>
      <c r="B15" s="7"/>
      <c r="C15" s="7"/>
      <c r="D15" s="53"/>
      <c r="E15" s="7"/>
      <c r="F15" s="7"/>
      <c r="G15" s="7"/>
      <c r="H15" s="7"/>
      <c r="J15" s="74">
        <v>12</v>
      </c>
      <c r="K15" s="62"/>
      <c r="M15" s="74">
        <v>16</v>
      </c>
      <c r="N15" s="75">
        <v>12</v>
      </c>
      <c r="O15" s="76">
        <v>0.2</v>
      </c>
      <c r="P15" s="65">
        <f t="shared" si="1"/>
        <v>113.09733552923255</v>
      </c>
      <c r="Q15" s="77" t="s">
        <v>165</v>
      </c>
      <c r="R15" s="65">
        <v>10</v>
      </c>
      <c r="S15" s="65">
        <v>0.8</v>
      </c>
      <c r="T15" s="65">
        <f t="shared" si="0"/>
        <v>8.4</v>
      </c>
      <c r="U15" s="90">
        <f>CHOOSE($K$1,130,115,0,130,130,220)</f>
        <v>130</v>
      </c>
      <c r="V15" s="65">
        <f>CHOOSE($K$1,5,40,20,5,5,40)</f>
        <v>5</v>
      </c>
      <c r="W15" s="63">
        <v>200</v>
      </c>
      <c r="Y15" s="108"/>
      <c r="Z15" s="64"/>
      <c r="AA15" s="65"/>
      <c r="AB15" s="64"/>
      <c r="AC15" s="64"/>
      <c r="AD15" s="66"/>
    </row>
    <row r="16" spans="1:30" ht="18" customHeight="1" x14ac:dyDescent="0.2">
      <c r="A16" s="38" t="str">
        <f>'Sprache - language'!A35</f>
        <v>Drill bit: (recommended)</v>
      </c>
      <c r="B16" s="39"/>
      <c r="C16" s="55">
        <f>M11</f>
        <v>30</v>
      </c>
      <c r="D16" s="40"/>
      <c r="E16" s="7"/>
      <c r="F16" s="7"/>
      <c r="G16" s="7"/>
      <c r="H16" s="7"/>
      <c r="J16" s="74">
        <v>14</v>
      </c>
      <c r="K16" s="62"/>
      <c r="M16" s="74">
        <v>18</v>
      </c>
      <c r="N16" s="75">
        <v>14</v>
      </c>
      <c r="O16" s="76">
        <v>0.2</v>
      </c>
      <c r="P16" s="65">
        <f t="shared" si="1"/>
        <v>153.93804002589985</v>
      </c>
      <c r="Q16" s="77" t="s">
        <v>166</v>
      </c>
      <c r="R16" s="65">
        <v>16</v>
      </c>
      <c r="S16" s="65">
        <v>1.5</v>
      </c>
      <c r="T16" s="65">
        <f t="shared" si="0"/>
        <v>13</v>
      </c>
      <c r="U16" s="90">
        <f>CHOOSE($K$1,190,115,190,190,190,220)</f>
        <v>190</v>
      </c>
      <c r="V16" s="65">
        <f>IF(OR($K$1=2,$K$1=6),95,15)</f>
        <v>15</v>
      </c>
      <c r="W16" s="63">
        <v>250</v>
      </c>
      <c r="Y16" s="108"/>
      <c r="Z16" s="64"/>
      <c r="AA16" s="65"/>
      <c r="AB16" s="64"/>
      <c r="AC16" s="64"/>
      <c r="AD16" s="66"/>
    </row>
    <row r="17" spans="1:30" ht="18" customHeight="1" x14ac:dyDescent="0.2">
      <c r="A17" s="28" t="str">
        <f>'Sprache - language'!A$36</f>
        <v>Volume of drill hole:</v>
      </c>
      <c r="B17" s="4"/>
      <c r="C17" s="4">
        <f>N28^2*PI()/4*C13*0.1</f>
        <v>824.47957600810537</v>
      </c>
      <c r="D17" s="41" t="s">
        <v>2</v>
      </c>
      <c r="E17" s="7"/>
      <c r="F17" s="7"/>
      <c r="G17" s="7"/>
      <c r="H17" s="7"/>
      <c r="J17" s="74">
        <v>16</v>
      </c>
      <c r="K17" s="62"/>
      <c r="M17" s="74">
        <v>20</v>
      </c>
      <c r="N17" s="75">
        <v>16</v>
      </c>
      <c r="O17" s="76">
        <v>0.2</v>
      </c>
      <c r="P17" s="65">
        <f t="shared" si="1"/>
        <v>201.06192982974676</v>
      </c>
      <c r="Q17" s="77" t="s">
        <v>166</v>
      </c>
      <c r="R17" s="65">
        <v>16</v>
      </c>
      <c r="S17" s="65">
        <v>1.5</v>
      </c>
      <c r="T17" s="65">
        <f t="shared" si="0"/>
        <v>13</v>
      </c>
      <c r="U17" s="65">
        <f>IF(OR($K$1=2,$K$1=6),220,190)</f>
        <v>190</v>
      </c>
      <c r="V17" s="65">
        <f t="shared" ref="V17:V26" si="2">IF(OR($K$1=2,$K$1=6),95,15)</f>
        <v>15</v>
      </c>
      <c r="W17" s="63">
        <v>250</v>
      </c>
      <c r="Y17" s="108"/>
      <c r="Z17" s="64"/>
      <c r="AA17" s="65"/>
      <c r="AB17" s="64"/>
      <c r="AC17" s="64"/>
      <c r="AD17" s="66"/>
    </row>
    <row r="18" spans="1:30" ht="27" customHeight="1" x14ac:dyDescent="0.2">
      <c r="A18" s="28"/>
      <c r="B18" s="4"/>
      <c r="C18" s="4"/>
      <c r="D18" s="41"/>
      <c r="E18" s="7"/>
      <c r="F18" s="7"/>
      <c r="G18" s="7"/>
      <c r="H18" s="7"/>
      <c r="J18" s="74">
        <v>20</v>
      </c>
      <c r="K18" s="62"/>
      <c r="M18" s="74">
        <f>CHOOSE(K1,24,25,24,24,24,25)</f>
        <v>24</v>
      </c>
      <c r="N18" s="75">
        <v>20</v>
      </c>
      <c r="O18" s="76">
        <v>0.2</v>
      </c>
      <c r="P18" s="65">
        <f t="shared" si="1"/>
        <v>314.15926535897933</v>
      </c>
      <c r="Q18" s="77" t="s">
        <v>166</v>
      </c>
      <c r="R18" s="65">
        <v>16</v>
      </c>
      <c r="S18" s="65">
        <v>1.5</v>
      </c>
      <c r="T18" s="65">
        <f t="shared" si="0"/>
        <v>13</v>
      </c>
      <c r="U18" s="90">
        <f>CHOOSE($K$1,190,240,190,190,190,260)</f>
        <v>190</v>
      </c>
      <c r="V18" s="65">
        <f t="shared" si="2"/>
        <v>15</v>
      </c>
      <c r="W18" s="63">
        <v>250</v>
      </c>
      <c r="Y18" s="108"/>
      <c r="Z18" s="64"/>
      <c r="AA18" s="69"/>
      <c r="AB18" s="64"/>
      <c r="AC18" s="64"/>
      <c r="AD18" s="64"/>
    </row>
    <row r="19" spans="1:30" ht="25.5" customHeight="1" x14ac:dyDescent="0.2">
      <c r="A19" s="100" t="str">
        <f>IF(C13&lt;=U11,"",'Sprache - language'!A44)</f>
        <v>Volume of extension pipe:</v>
      </c>
      <c r="B19" s="101"/>
      <c r="C19" s="4">
        <f>IF(A19="","",(N32^2*PI()/4*(N33)/10))</f>
        <v>102.20386300290996</v>
      </c>
      <c r="D19" s="41" t="str">
        <f>IF(A19="","","cm³")</f>
        <v>cm³</v>
      </c>
      <c r="E19" s="42"/>
      <c r="F19" s="7"/>
      <c r="G19" s="7"/>
      <c r="H19" s="7"/>
      <c r="J19" s="74">
        <v>22</v>
      </c>
      <c r="K19" s="62"/>
      <c r="M19" s="65" t="s">
        <v>144</v>
      </c>
      <c r="N19" s="75">
        <v>22</v>
      </c>
      <c r="O19" s="76">
        <v>0.2</v>
      </c>
      <c r="P19" s="65">
        <f t="shared" si="1"/>
        <v>380.13271108436498</v>
      </c>
      <c r="Q19" s="77" t="s">
        <v>166</v>
      </c>
      <c r="R19" s="65">
        <v>16</v>
      </c>
      <c r="S19" s="65">
        <v>1.5</v>
      </c>
      <c r="T19" s="65">
        <f t="shared" si="0"/>
        <v>13</v>
      </c>
      <c r="U19" s="90">
        <f>CHOOSE($K$1,230,240,230,230,230,260)</f>
        <v>230</v>
      </c>
      <c r="V19" s="65">
        <f t="shared" si="2"/>
        <v>15</v>
      </c>
      <c r="W19" s="63">
        <v>250</v>
      </c>
      <c r="Y19" s="108"/>
      <c r="Z19" s="64"/>
      <c r="AA19" s="79"/>
      <c r="AB19" s="64"/>
      <c r="AC19" s="64"/>
      <c r="AD19" s="64"/>
    </row>
    <row r="20" spans="1:30" ht="24.75" customHeight="1" x14ac:dyDescent="0.2">
      <c r="A20" s="100" t="str">
        <f>'Sprache - language'!A37</f>
        <v>Volume of ribbed rebar:</v>
      </c>
      <c r="B20" s="101"/>
      <c r="C20" s="4">
        <f>(N29/100)*C13/10</f>
        <v>452.38934211693021</v>
      </c>
      <c r="D20" s="41" t="s">
        <v>2</v>
      </c>
      <c r="E20" s="7"/>
      <c r="F20" s="7"/>
      <c r="G20" s="7"/>
      <c r="H20" s="7"/>
      <c r="J20" s="74">
        <v>24</v>
      </c>
      <c r="K20" s="62"/>
      <c r="M20" s="74">
        <f>CHOOSE(K1,30,32,30,30,30,32)</f>
        <v>30</v>
      </c>
      <c r="N20" s="75">
        <v>24</v>
      </c>
      <c r="O20" s="76">
        <v>0.2</v>
      </c>
      <c r="P20" s="65">
        <f>PI()/4*N20^2</f>
        <v>452.38934211693021</v>
      </c>
      <c r="Q20" s="77" t="s">
        <v>166</v>
      </c>
      <c r="R20" s="65">
        <v>16</v>
      </c>
      <c r="S20" s="65">
        <v>1.5</v>
      </c>
      <c r="T20" s="65">
        <f t="shared" ref="T20:T26" si="3">IF(OR(R20="",R20="-"),"",R20-2*S20)</f>
        <v>13</v>
      </c>
      <c r="U20" s="90">
        <f t="shared" ref="U20:U26" si="4">CHOOSE($K$1,230,240,230,230,230,260)</f>
        <v>230</v>
      </c>
      <c r="V20" s="65">
        <f t="shared" si="2"/>
        <v>15</v>
      </c>
      <c r="W20" s="63">
        <v>250</v>
      </c>
      <c r="Y20" s="108"/>
      <c r="Z20" s="64"/>
      <c r="AA20" s="65"/>
      <c r="AB20" s="80"/>
      <c r="AC20" s="64"/>
      <c r="AD20" s="64"/>
    </row>
    <row r="21" spans="1:30" ht="18" customHeight="1" x14ac:dyDescent="0.2">
      <c r="A21" s="28"/>
      <c r="B21" s="4"/>
      <c r="C21" s="4"/>
      <c r="D21" s="41"/>
      <c r="E21" s="7"/>
      <c r="F21" s="7"/>
      <c r="G21" s="7"/>
      <c r="H21" s="7"/>
      <c r="J21" s="74">
        <v>25</v>
      </c>
      <c r="K21" s="62"/>
      <c r="M21" s="74">
        <v>32</v>
      </c>
      <c r="N21" s="75">
        <v>25</v>
      </c>
      <c r="O21" s="76">
        <v>0.2</v>
      </c>
      <c r="P21" s="65">
        <f t="shared" si="1"/>
        <v>490.87385212340519</v>
      </c>
      <c r="Q21" s="77" t="s">
        <v>166</v>
      </c>
      <c r="R21" s="65">
        <v>16</v>
      </c>
      <c r="S21" s="65">
        <v>1.5</v>
      </c>
      <c r="T21" s="65">
        <f t="shared" si="3"/>
        <v>13</v>
      </c>
      <c r="U21" s="90">
        <f t="shared" si="4"/>
        <v>230</v>
      </c>
      <c r="V21" s="65">
        <f t="shared" si="2"/>
        <v>15</v>
      </c>
      <c r="W21" s="63">
        <v>250</v>
      </c>
      <c r="Y21" s="108"/>
    </row>
    <row r="22" spans="1:30" ht="18" customHeight="1" x14ac:dyDescent="0.2">
      <c r="A22" s="104" t="str">
        <f>'Sprache - language'!A$20</f>
        <v>Adhesive volume:</v>
      </c>
      <c r="B22" s="105"/>
      <c r="C22" s="43">
        <f>C17-C20</f>
        <v>372.09023389117516</v>
      </c>
      <c r="D22" s="44" t="s">
        <v>0</v>
      </c>
      <c r="E22" s="7"/>
      <c r="F22" s="7"/>
      <c r="G22" s="7"/>
      <c r="H22" s="7"/>
      <c r="J22" s="74">
        <v>26</v>
      </c>
      <c r="K22" s="62"/>
      <c r="M22" s="74">
        <v>32</v>
      </c>
      <c r="N22" s="75">
        <v>26</v>
      </c>
      <c r="O22" s="76">
        <v>0.2</v>
      </c>
      <c r="P22" s="65">
        <f t="shared" si="1"/>
        <v>530.92915845667505</v>
      </c>
      <c r="Q22" s="77" t="s">
        <v>166</v>
      </c>
      <c r="R22" s="65">
        <v>16</v>
      </c>
      <c r="S22" s="65">
        <v>1.5</v>
      </c>
      <c r="T22" s="65">
        <f t="shared" si="3"/>
        <v>13</v>
      </c>
      <c r="U22" s="90">
        <f t="shared" si="4"/>
        <v>230</v>
      </c>
      <c r="V22" s="65">
        <f t="shared" si="2"/>
        <v>15</v>
      </c>
      <c r="W22" s="63">
        <v>250</v>
      </c>
      <c r="Y22" s="108"/>
    </row>
    <row r="23" spans="1:30" ht="18" customHeight="1" x14ac:dyDescent="0.2">
      <c r="A23" s="7"/>
      <c r="B23" s="7"/>
      <c r="C23" s="7"/>
      <c r="D23" s="7"/>
      <c r="E23" s="45"/>
      <c r="F23" s="7"/>
      <c r="G23" s="45" t="s">
        <v>3</v>
      </c>
      <c r="H23" s="7"/>
      <c r="J23" s="74">
        <v>28</v>
      </c>
      <c r="K23" s="62"/>
      <c r="M23" s="74">
        <v>35</v>
      </c>
      <c r="N23" s="75">
        <v>28</v>
      </c>
      <c r="O23" s="76">
        <v>0.2</v>
      </c>
      <c r="P23" s="65">
        <f t="shared" si="1"/>
        <v>615.75216010359941</v>
      </c>
      <c r="Q23" s="77" t="s">
        <v>166</v>
      </c>
      <c r="R23" s="65">
        <v>16</v>
      </c>
      <c r="S23" s="65">
        <v>1.5</v>
      </c>
      <c r="T23" s="65">
        <f t="shared" si="3"/>
        <v>13</v>
      </c>
      <c r="U23" s="90">
        <f t="shared" si="4"/>
        <v>230</v>
      </c>
      <c r="V23" s="65">
        <f t="shared" si="2"/>
        <v>15</v>
      </c>
      <c r="W23" s="63">
        <v>250</v>
      </c>
      <c r="Y23" s="108"/>
    </row>
    <row r="24" spans="1:30" ht="18" customHeight="1" x14ac:dyDescent="0.2">
      <c r="A24" s="7" t="str">
        <f>'Sprache - language'!A$21</f>
        <v>Adhesive requirement including excess adhesive</v>
      </c>
      <c r="B24" s="7"/>
      <c r="C24" s="7"/>
      <c r="D24" s="7"/>
      <c r="E24" s="7"/>
      <c r="F24" s="7"/>
      <c r="G24" s="7"/>
      <c r="H24" s="7"/>
      <c r="J24" s="74">
        <v>32</v>
      </c>
      <c r="K24" s="62"/>
      <c r="M24" s="74">
        <v>40</v>
      </c>
      <c r="N24" s="75">
        <v>32</v>
      </c>
      <c r="O24" s="76">
        <v>0.2</v>
      </c>
      <c r="P24" s="65">
        <f t="shared" si="1"/>
        <v>804.24771931898704</v>
      </c>
      <c r="Q24" s="77" t="s">
        <v>166</v>
      </c>
      <c r="R24" s="65">
        <v>16</v>
      </c>
      <c r="S24" s="65">
        <v>1.5</v>
      </c>
      <c r="T24" s="65">
        <f t="shared" si="3"/>
        <v>13</v>
      </c>
      <c r="U24" s="90">
        <f t="shared" si="4"/>
        <v>230</v>
      </c>
      <c r="V24" s="65">
        <f t="shared" si="2"/>
        <v>15</v>
      </c>
      <c r="W24" s="63">
        <v>250</v>
      </c>
      <c r="Y24" s="108"/>
    </row>
    <row r="25" spans="1:30" ht="18" customHeight="1" x14ac:dyDescent="0.2">
      <c r="A25" s="7" t="str">
        <f>'Sprache - language'!A$22</f>
        <v>Requirement:</v>
      </c>
      <c r="B25" s="7"/>
      <c r="C25" s="7">
        <f>SUM(C22*(1+N30))</f>
        <v>446.50828066941017</v>
      </c>
      <c r="D25" s="7" t="s">
        <v>0</v>
      </c>
      <c r="E25" s="7"/>
      <c r="F25" s="46"/>
      <c r="G25" s="7"/>
      <c r="H25" s="7"/>
      <c r="I25" s="83"/>
      <c r="J25" s="74">
        <v>36</v>
      </c>
      <c r="K25" s="62"/>
      <c r="M25" s="74">
        <v>42</v>
      </c>
      <c r="N25" s="75">
        <v>36</v>
      </c>
      <c r="O25" s="76">
        <v>0.2</v>
      </c>
      <c r="P25" s="65">
        <f t="shared" si="1"/>
        <v>1017.8760197630929</v>
      </c>
      <c r="Q25" s="77" t="s">
        <v>166</v>
      </c>
      <c r="R25" s="65">
        <v>16</v>
      </c>
      <c r="S25" s="65">
        <v>1.5</v>
      </c>
      <c r="T25" s="65">
        <f t="shared" si="3"/>
        <v>13</v>
      </c>
      <c r="U25" s="90">
        <f t="shared" si="4"/>
        <v>230</v>
      </c>
      <c r="V25" s="65">
        <f t="shared" si="2"/>
        <v>15</v>
      </c>
      <c r="W25" s="63">
        <v>250</v>
      </c>
      <c r="Y25" s="108"/>
    </row>
    <row r="26" spans="1:30" ht="18" customHeight="1" x14ac:dyDescent="0.2">
      <c r="A26" s="7"/>
      <c r="B26" s="7"/>
      <c r="C26" s="7"/>
      <c r="D26" s="7"/>
      <c r="E26" s="7"/>
      <c r="F26" s="4"/>
      <c r="G26" s="7"/>
      <c r="H26" s="7"/>
      <c r="I26" s="83"/>
      <c r="J26" s="74">
        <v>40</v>
      </c>
      <c r="K26" s="62"/>
      <c r="M26" s="74">
        <v>47</v>
      </c>
      <c r="N26" s="75">
        <v>40</v>
      </c>
      <c r="O26" s="76">
        <v>0.2</v>
      </c>
      <c r="P26" s="65">
        <f t="shared" si="1"/>
        <v>1256.6370614359173</v>
      </c>
      <c r="Q26" s="77" t="s">
        <v>166</v>
      </c>
      <c r="R26" s="65">
        <v>16</v>
      </c>
      <c r="S26" s="65">
        <v>1.5</v>
      </c>
      <c r="T26" s="65">
        <f t="shared" si="3"/>
        <v>13</v>
      </c>
      <c r="U26" s="90">
        <f t="shared" si="4"/>
        <v>230</v>
      </c>
      <c r="V26" s="65">
        <f t="shared" si="2"/>
        <v>15</v>
      </c>
      <c r="W26" s="63">
        <v>250</v>
      </c>
      <c r="Y26" s="108"/>
    </row>
    <row r="27" spans="1:30" ht="18" customHeight="1" x14ac:dyDescent="0.2">
      <c r="E27" s="7"/>
      <c r="F27" s="7"/>
      <c r="G27" s="7"/>
      <c r="H27" s="47"/>
      <c r="I27" s="85"/>
      <c r="Q27" s="85"/>
      <c r="R27" s="85"/>
      <c r="S27" s="81" t="s">
        <v>90</v>
      </c>
      <c r="T27" s="85"/>
      <c r="U27" s="85"/>
      <c r="V27" s="85"/>
      <c r="W27" s="84"/>
      <c r="X27" s="64"/>
      <c r="Y27" s="64"/>
    </row>
    <row r="28" spans="1:30" ht="27.75" customHeight="1" x14ac:dyDescent="0.2">
      <c r="A28" s="99" t="str">
        <f>'Sprache - language'!A$25</f>
        <v>Total adhesive requirement:</v>
      </c>
      <c r="B28" s="99"/>
      <c r="C28" s="7">
        <f>C14*C25</f>
        <v>446.50828066941017</v>
      </c>
      <c r="D28" s="7" t="s">
        <v>0</v>
      </c>
      <c r="E28" s="48" t="str">
        <f>CONCATENATE('Sprache - language'!A$28," ",ROUND((C28/1000),2)," l")</f>
        <v>equal to: 0,45 l</v>
      </c>
      <c r="F28" s="7"/>
      <c r="G28" s="7"/>
      <c r="H28" s="7"/>
      <c r="M28" s="29" t="s">
        <v>147</v>
      </c>
      <c r="N28" s="3">
        <f>SUM(C12/10)+0.04</f>
        <v>3.24</v>
      </c>
      <c r="O28" s="3" t="s">
        <v>1</v>
      </c>
      <c r="P28" s="83"/>
      <c r="W28" s="84"/>
      <c r="X28" s="64"/>
      <c r="Y28" s="64"/>
    </row>
    <row r="29" spans="1:30" ht="27" customHeight="1" x14ac:dyDescent="0.2">
      <c r="A29" s="49"/>
      <c r="B29" s="49"/>
      <c r="C29" s="50"/>
      <c r="D29" s="7"/>
      <c r="E29" s="7"/>
      <c r="F29" s="7"/>
      <c r="G29" s="7"/>
      <c r="H29" s="7"/>
      <c r="K29" s="64"/>
      <c r="M29" s="79" t="s">
        <v>80</v>
      </c>
      <c r="N29" s="79">
        <f>P11</f>
        <v>452.38934211693021</v>
      </c>
      <c r="O29" s="3" t="s">
        <v>159</v>
      </c>
      <c r="P29" s="85"/>
      <c r="W29" s="84"/>
      <c r="X29" s="64"/>
      <c r="Y29" s="64"/>
    </row>
    <row r="30" spans="1:30" ht="30" customHeight="1" x14ac:dyDescent="0.2">
      <c r="A30" s="99" t="str">
        <f>'Sprache - language'!A$26</f>
        <v>Number of anchors per cartridge:</v>
      </c>
      <c r="B30" s="99"/>
      <c r="C30" s="7">
        <f>SUM((N31)/(C25))</f>
        <v>0.89584004892432356</v>
      </c>
      <c r="D30" s="7" t="str">
        <f>IF(C30&lt;=1,'Sprache - language'!A$29,'Sprache - language'!A$30)</f>
        <v>piece</v>
      </c>
      <c r="E30" s="7"/>
      <c r="F30" s="7"/>
      <c r="G30" s="7"/>
      <c r="H30" s="7"/>
      <c r="M30" s="63" t="s">
        <v>36</v>
      </c>
      <c r="N30" s="80">
        <f>O11</f>
        <v>0.2</v>
      </c>
      <c r="O30" s="3" t="s">
        <v>9</v>
      </c>
      <c r="W30" s="84"/>
      <c r="X30" s="64"/>
      <c r="Y30" s="64"/>
    </row>
    <row r="31" spans="1:30" ht="27" customHeight="1" x14ac:dyDescent="0.2">
      <c r="A31" s="49"/>
      <c r="B31" s="49"/>
      <c r="C31" s="7"/>
      <c r="D31" s="7"/>
      <c r="E31" s="7"/>
      <c r="F31" s="7"/>
      <c r="G31" s="7"/>
      <c r="H31" s="7"/>
      <c r="M31" s="29" t="s">
        <v>148</v>
      </c>
      <c r="N31" s="62">
        <f>IF(OR(K1=3,K1=6),C10-50,C10-40)</f>
        <v>400</v>
      </c>
      <c r="O31" s="3" t="s">
        <v>0</v>
      </c>
      <c r="W31" s="65"/>
      <c r="X31" s="64"/>
      <c r="Y31" s="64"/>
    </row>
    <row r="32" spans="1:30" ht="29.25" customHeight="1" x14ac:dyDescent="0.2">
      <c r="A32" s="99" t="str">
        <f>'Sprache - language'!A$27</f>
        <v>Number of cartridges required:</v>
      </c>
      <c r="B32" s="99"/>
      <c r="C32" s="47" t="str">
        <f ca="1">IF(COUNTIF(E9:E14,"")&lt;6,"",CONCATENATE(ROUNDUP(N35,0),IF(N35&lt;=1," "&amp;'Sprache - language'!A31," "&amp;'Sprache - language'!A32)," MKT ",C9," ",C10," ", P35))</f>
        <v/>
      </c>
      <c r="D32" s="7"/>
      <c r="E32" s="7"/>
      <c r="F32" s="7"/>
      <c r="G32" s="7"/>
      <c r="H32" s="7"/>
      <c r="M32" s="29" t="s">
        <v>164</v>
      </c>
      <c r="N32" s="3">
        <f>T11/10</f>
        <v>1.3</v>
      </c>
      <c r="O32" s="3" t="s">
        <v>1</v>
      </c>
      <c r="W32" s="82"/>
      <c r="X32" s="64"/>
      <c r="Y32" s="64"/>
    </row>
    <row r="33" spans="1:25" ht="21" customHeight="1" x14ac:dyDescent="0.2">
      <c r="A33" s="7"/>
      <c r="B33" s="7"/>
      <c r="C33" s="47" t="str">
        <f ca="1">IF(C19="","",IF(COUNTIF(E9:E14,"")&lt;6,"",CONCATENATE("+"&amp;" "&amp;ROUNDUP(N36,2),IF(N36&lt;=1," "&amp;'Sprache - language'!A31," "&amp;'Sprache - language'!A32)," MKT ",C9," ",C10," ",P36)))</f>
        <v/>
      </c>
      <c r="D33" s="7"/>
      <c r="E33" s="7"/>
      <c r="F33" s="7"/>
      <c r="G33" s="7"/>
      <c r="H33" s="7"/>
      <c r="M33" s="29" t="s">
        <v>192</v>
      </c>
      <c r="N33" s="3">
        <f>IF(C13-U11+V11&lt;=W11,W11-V11,C13-U11)</f>
        <v>770</v>
      </c>
      <c r="O33" s="3" t="s">
        <v>4</v>
      </c>
      <c r="P33" s="3" t="s">
        <v>91</v>
      </c>
      <c r="W33" s="67"/>
      <c r="X33" s="64"/>
      <c r="Y33" s="64"/>
    </row>
    <row r="34" spans="1:25" ht="18" customHeight="1" x14ac:dyDescent="0.2">
      <c r="D34" s="7"/>
      <c r="E34" s="7"/>
      <c r="F34" s="4"/>
      <c r="G34" s="52"/>
      <c r="H34" s="7"/>
      <c r="W34" s="67"/>
      <c r="X34" s="64"/>
      <c r="Y34" s="64"/>
    </row>
    <row r="35" spans="1:25" ht="18" customHeight="1" x14ac:dyDescent="0.2">
      <c r="D35" s="7"/>
      <c r="E35" s="7"/>
      <c r="F35" s="7"/>
      <c r="G35" s="7"/>
      <c r="H35" s="7"/>
      <c r="M35" s="29" t="str">
        <f>'Sprache - language'!A$27</f>
        <v>Number of cartridges required:</v>
      </c>
      <c r="N35" s="3">
        <f>SUM(C25*C14/(N31))</f>
        <v>1.1162707016735254</v>
      </c>
      <c r="P35" s="3" t="str">
        <f>IF(C19="","",'Sprache - language'!A47)</f>
        <v>for the number of drill holes</v>
      </c>
      <c r="W35" s="67"/>
      <c r="X35" s="86"/>
      <c r="Y35" s="86"/>
    </row>
    <row r="36" spans="1:25" ht="18" customHeight="1" x14ac:dyDescent="0.2">
      <c r="D36" s="7"/>
      <c r="E36" s="7"/>
      <c r="F36" s="7"/>
      <c r="G36" s="7"/>
      <c r="H36" s="7"/>
      <c r="N36" s="3">
        <f>IF(C19="","",C19/N31)</f>
        <v>0.25550965750727489</v>
      </c>
      <c r="P36" s="3" t="str">
        <f>IF(C19="","",'Sprache - language'!A48)</f>
        <v>per change of the extension pipe</v>
      </c>
      <c r="W36" s="67"/>
    </row>
    <row r="37" spans="1:25" ht="18" customHeight="1" x14ac:dyDescent="0.2">
      <c r="A37" s="7"/>
      <c r="B37" s="7"/>
      <c r="C37" s="7"/>
      <c r="D37" s="7"/>
      <c r="E37" s="7"/>
      <c r="F37" s="7"/>
      <c r="G37" s="7"/>
      <c r="H37" s="7"/>
      <c r="M37" s="48" t="str">
        <f>'Sprache - language'!A$54</f>
        <v>recommended accessories:</v>
      </c>
      <c r="N37" s="59" t="str">
        <f>CONCATENATE(IF(M11&lt;18,CONCATENATE('Sprache - language'!A55,CHOOSE($K$1," VM-X"," VM-XH"," VM-XL"," VM-X"," VM-X"," VM-XHP")),CONCATENATE('Sprache - language'!A55,CHOOSE($K$1," VM-XL"," VM-XH"," VM-XL"," VM-XL"," VM-XL"," VM-XHP"))),IF(C19="","",CONCATENATE("; ",'Sprache - language'!A56," ",Q11)))</f>
        <v>static mixer VM-XL; extension tubes VM-XLE 16</v>
      </c>
      <c r="W37" s="67"/>
    </row>
    <row r="38" spans="1:25" ht="12.75" x14ac:dyDescent="0.2">
      <c r="E38" s="87"/>
      <c r="L38" s="7"/>
      <c r="M38" s="7"/>
      <c r="N38" s="7" t="str">
        <f>IF(C19="","",'Sprache - language'!A57)</f>
        <v>for recommended drill hole diameter</v>
      </c>
      <c r="W38" s="67"/>
    </row>
    <row r="39" spans="1:25" ht="12.75" customHeight="1" x14ac:dyDescent="0.2">
      <c r="W39" s="67"/>
    </row>
    <row r="40" spans="1:25" ht="18" customHeight="1" x14ac:dyDescent="0.2">
      <c r="W40" s="67"/>
    </row>
    <row r="41" spans="1:25" ht="18" customHeight="1" x14ac:dyDescent="0.2">
      <c r="W41" s="65"/>
    </row>
    <row r="45" spans="1:25" ht="29.25" customHeight="1" x14ac:dyDescent="0.2"/>
    <row r="68" ht="27.75" customHeight="1" x14ac:dyDescent="0.2"/>
  </sheetData>
  <sheetProtection password="D881" sheet="1" objects="1" scenarios="1" selectLockedCells="1"/>
  <mergeCells count="19">
    <mergeCell ref="G5:H5"/>
    <mergeCell ref="B6:D6"/>
    <mergeCell ref="F6:H6"/>
    <mergeCell ref="B7:D7"/>
    <mergeCell ref="F7:H7"/>
    <mergeCell ref="A28:B28"/>
    <mergeCell ref="A30:B30"/>
    <mergeCell ref="A32:B32"/>
    <mergeCell ref="B4:E4"/>
    <mergeCell ref="B5:E5"/>
    <mergeCell ref="A19:B19"/>
    <mergeCell ref="Y12:Y26"/>
    <mergeCell ref="V9:V10"/>
    <mergeCell ref="U9:U10"/>
    <mergeCell ref="A20:B20"/>
    <mergeCell ref="A22:B22"/>
    <mergeCell ref="W9:W10"/>
    <mergeCell ref="R9:T9"/>
    <mergeCell ref="Q9:Q10"/>
  </mergeCells>
  <conditionalFormatting sqref="C10">
    <cfRule type="expression" dxfId="27" priority="3" stopIfTrue="1">
      <formula>COUNTIF(INDIRECT(L1),C10)=0</formula>
    </cfRule>
  </conditionalFormatting>
  <conditionalFormatting sqref="C14">
    <cfRule type="expression" dxfId="26" priority="2" stopIfTrue="1">
      <formula>$C$14&lt;=0</formula>
    </cfRule>
  </conditionalFormatting>
  <conditionalFormatting sqref="C13">
    <cfRule type="expression" dxfId="25" priority="1" stopIfTrue="1">
      <formula>$C$13&lt;=0</formula>
    </cfRule>
  </conditionalFormatting>
  <conditionalFormatting sqref="C12">
    <cfRule type="expression" dxfId="24" priority="4" stopIfTrue="1">
      <formula>$C$12&lt;=$N$11</formula>
    </cfRule>
  </conditionalFormatting>
  <dataValidations count="3">
    <dataValidation type="list" allowBlank="1" showInputMessage="1" showErrorMessage="1" sqref="C11">
      <formula1>$J$12:$J$26</formula1>
    </dataValidation>
    <dataValidation type="list" allowBlank="1" showInputMessage="1" showErrorMessage="1" sqref="C10">
      <formula1>INDIRECT($L$1)</formula1>
    </dataValidation>
    <dataValidation type="list" allowBlank="1" showInputMessage="1" showErrorMessage="1" sqref="C9">
      <formula1>$J$2:$J$7</formula1>
    </dataValidation>
  </dataValidations>
  <pageMargins left="0.75" right="0.6" top="0.6" bottom="1.19" header="0.4921259845" footer="0.4921259845"/>
  <pageSetup paperSize="9" orientation="portrait" r:id="rId1"/>
  <headerFooter alignWithMargins="0">
    <oddFooter>&amp;LMKT-Metall-Kunststoff-Technik GmbH &amp;&amp; Co. KG
Auf dem Immel 2
67685 Weilerbach&amp;RPhone: +49 (0) 6374 91 16 -0
Email: info@mkt.de
Internet: www.mkt.de</oddFooter>
  </headerFooter>
  <drawing r:id="rId2"/>
  <legacyDrawing r:id="rId3"/>
  <tableParts count="6"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Sprache - language</vt:lpstr>
      <vt:lpstr>Ankerstange - Threaded Stud</vt:lpstr>
      <vt:lpstr>Innengewinde - Internal thread</vt:lpstr>
      <vt:lpstr>Bewehrungsstahl - Rebar</vt:lpstr>
      <vt:lpstr>'Ankerstange - Threaded Stud'!Druckbereich</vt:lpstr>
      <vt:lpstr>'Bewehrungsstahl - Rebar'!Druckbereich</vt:lpstr>
      <vt:lpstr>'Innengewinde - Internal thread'!Druckbereich</vt:lpstr>
      <vt:lpstr>'Sprache - language'!Druckbereich</vt:lpstr>
    </vt:vector>
  </TitlesOfParts>
  <Company>MKT-Weilerbach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MKT Verbundanker Mörtelberechnung</dc:title>
  <dc:creator>Schildt, Carola</dc:creator>
  <cp:lastModifiedBy>Schildt, Carola</cp:lastModifiedBy>
  <cp:lastPrinted>2018-08-08T12:46:41Z</cp:lastPrinted>
  <dcterms:created xsi:type="dcterms:W3CDTF">2000-07-14T17:01:49Z</dcterms:created>
  <dcterms:modified xsi:type="dcterms:W3CDTF">2021-04-12T09:22:35Z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rstellt von">
    <vt:lpwstr>Venter</vt:lpwstr>
  </property>
  <property fmtid="{D5CDD505-2E9C-101B-9397-08002B2CF9AE}" pid="3" name="Herausgeber">
    <vt:lpwstr>MKT-Weilerbach</vt:lpwstr>
  </property>
  <property fmtid="{D5CDD505-2E9C-101B-9397-08002B2CF9AE}" pid="4" name="Kontrolliert von">
    <vt:lpwstr>Lechner</vt:lpwstr>
  </property>
  <property fmtid="{D5CDD505-2E9C-101B-9397-08002B2CF9AE}" pid="5" name="Telefonnummer">
    <vt:lpwstr>D-06374-91 16 0</vt:lpwstr>
  </property>
</Properties>
</file>